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240" activeTab="4"/>
  </bookViews>
  <sheets>
    <sheet name="Summary" sheetId="1" r:id="rId1"/>
    <sheet name="Personnel costs" sheetId="2" r:id="rId2"/>
    <sheet name="Expenses induced by the plan" sheetId="3" r:id="rId3"/>
    <sheet name="Damages saved" sheetId="4" r:id="rId4"/>
    <sheet name="Read me" sheetId="5" r:id="rId5"/>
  </sheets>
  <definedNames>
    <definedName name="_xlnm._FilterDatabase" localSheetId="3" hidden="1">'Damages saved'!$B$4:$H$11</definedName>
    <definedName name="_xlnm._FilterDatabase" localSheetId="2" hidden="1">'Expenses induced by the plan'!$A$7:$K$10</definedName>
    <definedName name="_xlnm._FilterDatabase" localSheetId="1" hidden="1">'Personnel costs'!$A$3:$F$6</definedName>
    <definedName name="code_hr">'Personnel costs'!$F$5:$F$6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F26" i="4"/>
  <c r="K98" i="3" l="1"/>
  <c r="K97" i="3"/>
  <c r="K96" i="3"/>
  <c r="K94" i="3"/>
  <c r="K93" i="3"/>
  <c r="K92" i="3"/>
  <c r="K90" i="3"/>
  <c r="K89" i="3"/>
  <c r="K88" i="3"/>
  <c r="K86" i="3"/>
  <c r="K85" i="3"/>
  <c r="K84" i="3"/>
  <c r="K82" i="3"/>
  <c r="K81" i="3"/>
  <c r="K80" i="3"/>
  <c r="K78" i="3"/>
  <c r="K77" i="3"/>
  <c r="K76" i="3"/>
  <c r="K74" i="3"/>
  <c r="K73" i="3"/>
  <c r="K72" i="3"/>
  <c r="K66" i="3"/>
  <c r="K65" i="3"/>
  <c r="K64" i="3"/>
  <c r="K62" i="3"/>
  <c r="K61" i="3"/>
  <c r="K60" i="3"/>
  <c r="K58" i="3"/>
  <c r="K57" i="3"/>
  <c r="K56" i="3"/>
  <c r="K54" i="3"/>
  <c r="K53" i="3"/>
  <c r="K52" i="3"/>
  <c r="K50" i="3"/>
  <c r="K49" i="3"/>
  <c r="K48" i="3"/>
  <c r="K46" i="3"/>
  <c r="K45" i="3"/>
  <c r="K44" i="3"/>
  <c r="K42" i="3"/>
  <c r="K41" i="3"/>
  <c r="K40" i="3"/>
  <c r="L9" i="3"/>
  <c r="I8" i="3"/>
  <c r="K21" i="3"/>
  <c r="K32" i="3"/>
  <c r="K34" i="3"/>
  <c r="K33" i="3"/>
  <c r="K30" i="3"/>
  <c r="K29" i="3"/>
  <c r="K28" i="3"/>
  <c r="K26" i="3"/>
  <c r="K25" i="3"/>
  <c r="K24" i="3"/>
  <c r="K18" i="3"/>
  <c r="K17" i="3"/>
  <c r="K16" i="3"/>
  <c r="K22" i="3"/>
  <c r="K20" i="3"/>
  <c r="K14" i="3"/>
  <c r="K13" i="3"/>
  <c r="K12" i="3"/>
  <c r="K10" i="3"/>
  <c r="L10" i="3" s="1"/>
  <c r="K9" i="3"/>
  <c r="K8" i="3"/>
  <c r="L8" i="3" s="1"/>
  <c r="M8" i="3" s="1"/>
  <c r="F5" i="4" l="1"/>
  <c r="M104" i="3"/>
  <c r="M105" i="3" s="1"/>
  <c r="I104" i="3"/>
  <c r="I105" i="3" s="1"/>
  <c r="H104" i="3"/>
  <c r="N105" i="3" l="1"/>
  <c r="M34" i="3" l="1"/>
  <c r="I34" i="3"/>
  <c r="M33" i="3"/>
  <c r="I33" i="3"/>
  <c r="M32" i="3"/>
  <c r="M35" i="3" s="1"/>
  <c r="I32" i="3"/>
  <c r="I35" i="3" s="1"/>
  <c r="L30" i="3"/>
  <c r="M30" i="3" s="1"/>
  <c r="I30" i="3"/>
  <c r="L29" i="3"/>
  <c r="M29" i="3" s="1"/>
  <c r="I29" i="3"/>
  <c r="L28" i="3"/>
  <c r="M28" i="3" s="1"/>
  <c r="I28" i="3"/>
  <c r="L26" i="3"/>
  <c r="M26" i="3" s="1"/>
  <c r="I26" i="3"/>
  <c r="L25" i="3"/>
  <c r="M25" i="3" s="1"/>
  <c r="I25" i="3"/>
  <c r="L24" i="3"/>
  <c r="M24" i="3" s="1"/>
  <c r="I24" i="3"/>
  <c r="L22" i="3"/>
  <c r="M22" i="3" s="1"/>
  <c r="I22" i="3"/>
  <c r="L21" i="3"/>
  <c r="M21" i="3" s="1"/>
  <c r="I21" i="3"/>
  <c r="L20" i="3"/>
  <c r="M20" i="3" s="1"/>
  <c r="I20" i="3"/>
  <c r="L18" i="3"/>
  <c r="M18" i="3" s="1"/>
  <c r="I18" i="3"/>
  <c r="L17" i="3"/>
  <c r="M17" i="3" s="1"/>
  <c r="I17" i="3"/>
  <c r="L16" i="3"/>
  <c r="M16" i="3" s="1"/>
  <c r="I16" i="3"/>
  <c r="L14" i="3"/>
  <c r="M14" i="3" s="1"/>
  <c r="I14" i="3"/>
  <c r="L13" i="3"/>
  <c r="M13" i="3" s="1"/>
  <c r="I13" i="3"/>
  <c r="L12" i="3"/>
  <c r="M12" i="3" s="1"/>
  <c r="I12" i="3"/>
  <c r="M10" i="3"/>
  <c r="I10" i="3"/>
  <c r="M9" i="3"/>
  <c r="I9" i="3"/>
  <c r="M66" i="3"/>
  <c r="M65" i="3"/>
  <c r="M64" i="3"/>
  <c r="L62" i="3"/>
  <c r="M62" i="3" s="1"/>
  <c r="L61" i="3"/>
  <c r="M61" i="3" s="1"/>
  <c r="L60" i="3"/>
  <c r="M60" i="3" s="1"/>
  <c r="L58" i="3"/>
  <c r="M58" i="3" s="1"/>
  <c r="L57" i="3"/>
  <c r="M57" i="3" s="1"/>
  <c r="L56" i="3"/>
  <c r="M56" i="3" s="1"/>
  <c r="L54" i="3"/>
  <c r="M54" i="3" s="1"/>
  <c r="L53" i="3"/>
  <c r="M53" i="3" s="1"/>
  <c r="L52" i="3"/>
  <c r="M52" i="3" s="1"/>
  <c r="L50" i="3"/>
  <c r="M50" i="3" s="1"/>
  <c r="L49" i="3"/>
  <c r="M49" i="3" s="1"/>
  <c r="L48" i="3"/>
  <c r="M48" i="3" s="1"/>
  <c r="L46" i="3"/>
  <c r="M46" i="3" s="1"/>
  <c r="L45" i="3"/>
  <c r="M45" i="3" s="1"/>
  <c r="L44" i="3"/>
  <c r="M44" i="3" s="1"/>
  <c r="I66" i="3"/>
  <c r="I65" i="3"/>
  <c r="I64" i="3"/>
  <c r="I62" i="3"/>
  <c r="I61" i="3"/>
  <c r="I60" i="3"/>
  <c r="I58" i="3"/>
  <c r="I57" i="3"/>
  <c r="I56" i="3"/>
  <c r="I54" i="3"/>
  <c r="I53" i="3"/>
  <c r="I52" i="3"/>
  <c r="I50" i="3"/>
  <c r="I49" i="3"/>
  <c r="I48" i="3"/>
  <c r="I46" i="3"/>
  <c r="I45" i="3"/>
  <c r="I44" i="3"/>
  <c r="I31" i="3" l="1"/>
  <c r="M15" i="3"/>
  <c r="M31" i="3"/>
  <c r="N31" i="3" s="1"/>
  <c r="I23" i="3"/>
  <c r="M23" i="3"/>
  <c r="M11" i="3"/>
  <c r="I47" i="3"/>
  <c r="M67" i="3"/>
  <c r="I55" i="3"/>
  <c r="I15" i="3"/>
  <c r="N35" i="3"/>
  <c r="I63" i="3"/>
  <c r="I51" i="3"/>
  <c r="I59" i="3"/>
  <c r="I67" i="3"/>
  <c r="M47" i="3"/>
  <c r="M55" i="3"/>
  <c r="N55" i="3" s="1"/>
  <c r="M63" i="3"/>
  <c r="I11" i="3"/>
  <c r="I19" i="3"/>
  <c r="I27" i="3"/>
  <c r="M19" i="3"/>
  <c r="N23" i="3"/>
  <c r="M27" i="3"/>
  <c r="M51" i="3"/>
  <c r="M59" i="3"/>
  <c r="N15" i="3" l="1"/>
  <c r="N47" i="3"/>
  <c r="N27" i="3"/>
  <c r="N59" i="3"/>
  <c r="N11" i="3"/>
  <c r="N63" i="3"/>
  <c r="N67" i="3"/>
  <c r="N19" i="3"/>
  <c r="N51" i="3"/>
  <c r="I41" i="3"/>
  <c r="I42" i="3"/>
  <c r="I40" i="3"/>
  <c r="I72" i="3"/>
  <c r="L40" i="3"/>
  <c r="M40" i="3" s="1"/>
  <c r="H64" i="3"/>
  <c r="M97" i="3"/>
  <c r="M98" i="3"/>
  <c r="M96" i="3"/>
  <c r="I97" i="3"/>
  <c r="I98" i="3"/>
  <c r="I96" i="3"/>
  <c r="H96" i="3"/>
  <c r="L92" i="3"/>
  <c r="M92" i="3" s="1"/>
  <c r="I92" i="3"/>
  <c r="L94" i="3"/>
  <c r="M94" i="3" s="1"/>
  <c r="L93" i="3"/>
  <c r="M93" i="3" s="1"/>
  <c r="I94" i="3"/>
  <c r="I93" i="3"/>
  <c r="H88" i="3"/>
  <c r="I95" i="3" l="1"/>
  <c r="I99" i="3"/>
  <c r="I43" i="3"/>
  <c r="M99" i="3"/>
  <c r="N99" i="3" s="1"/>
  <c r="M95" i="3"/>
  <c r="N95" i="3" s="1"/>
  <c r="L90" i="3"/>
  <c r="M90" i="3" s="1"/>
  <c r="L89" i="3"/>
  <c r="M89" i="3" s="1"/>
  <c r="L88" i="3"/>
  <c r="M88" i="3" s="1"/>
  <c r="I90" i="3"/>
  <c r="I89" i="3"/>
  <c r="I88" i="3"/>
  <c r="I84" i="3"/>
  <c r="L86" i="3"/>
  <c r="M86" i="3" s="1"/>
  <c r="L85" i="3"/>
  <c r="M85" i="3" s="1"/>
  <c r="L84" i="3"/>
  <c r="M84" i="3" s="1"/>
  <c r="H84" i="3"/>
  <c r="L80" i="3"/>
  <c r="M80" i="3" s="1"/>
  <c r="L77" i="3"/>
  <c r="M77" i="3" s="1"/>
  <c r="L76" i="3"/>
  <c r="M76" i="3" s="1"/>
  <c r="I80" i="3"/>
  <c r="H80" i="3"/>
  <c r="L72" i="3"/>
  <c r="M72" i="3" s="1"/>
  <c r="I78" i="3"/>
  <c r="I77" i="3"/>
  <c r="I76" i="3"/>
  <c r="H76" i="3"/>
  <c r="I73" i="3"/>
  <c r="I74" i="3"/>
  <c r="H72" i="3"/>
  <c r="I85" i="3"/>
  <c r="I86" i="3"/>
  <c r="I81" i="3"/>
  <c r="I82" i="3"/>
  <c r="H8" i="3"/>
  <c r="H9" i="3"/>
  <c r="H10" i="3"/>
  <c r="H12" i="3"/>
  <c r="H13" i="3"/>
  <c r="H14" i="3"/>
  <c r="H16" i="3"/>
  <c r="H17" i="3"/>
  <c r="H18" i="3"/>
  <c r="H20" i="3"/>
  <c r="H21" i="3"/>
  <c r="H22" i="3"/>
  <c r="H24" i="3"/>
  <c r="H25" i="3"/>
  <c r="H26" i="3"/>
  <c r="H28" i="3"/>
  <c r="H29" i="3"/>
  <c r="H30" i="3"/>
  <c r="H32" i="3"/>
  <c r="H33" i="3"/>
  <c r="H34" i="3"/>
  <c r="H40" i="3"/>
  <c r="H41" i="3"/>
  <c r="H42" i="3"/>
  <c r="H44" i="3"/>
  <c r="H45" i="3"/>
  <c r="H46" i="3"/>
  <c r="H48" i="3"/>
  <c r="H49" i="3"/>
  <c r="H50" i="3"/>
  <c r="H52" i="3"/>
  <c r="H53" i="3"/>
  <c r="H54" i="3"/>
  <c r="H56" i="3"/>
  <c r="H57" i="3"/>
  <c r="H58" i="3"/>
  <c r="H60" i="3"/>
  <c r="H61" i="3"/>
  <c r="H62" i="3"/>
  <c r="H65" i="3"/>
  <c r="H66" i="3"/>
  <c r="H73" i="3"/>
  <c r="H74" i="3"/>
  <c r="H77" i="3"/>
  <c r="H78" i="3"/>
  <c r="H81" i="3"/>
  <c r="H82" i="3"/>
  <c r="H85" i="3"/>
  <c r="H86" i="3"/>
  <c r="H89" i="3"/>
  <c r="H90" i="3"/>
  <c r="H92" i="3"/>
  <c r="H93" i="3"/>
  <c r="H94" i="3"/>
  <c r="H97" i="3"/>
  <c r="H98" i="3"/>
  <c r="I79" i="3" l="1"/>
  <c r="M87" i="3"/>
  <c r="I91" i="3"/>
  <c r="I75" i="3"/>
  <c r="I87" i="3"/>
  <c r="M91" i="3"/>
  <c r="L82" i="3"/>
  <c r="M82" i="3" s="1"/>
  <c r="L81" i="3"/>
  <c r="M81" i="3" s="1"/>
  <c r="L78" i="3"/>
  <c r="L74" i="3"/>
  <c r="M74" i="3" s="1"/>
  <c r="L73" i="3"/>
  <c r="M73" i="3" s="1"/>
  <c r="F25" i="4"/>
  <c r="G25" i="4" s="1"/>
  <c r="F24" i="4"/>
  <c r="G24" i="4" s="1"/>
  <c r="F23" i="4"/>
  <c r="F22" i="4"/>
  <c r="F21" i="4"/>
  <c r="F20" i="4"/>
  <c r="F19" i="4"/>
  <c r="F18" i="4"/>
  <c r="G18" i="4" s="1"/>
  <c r="F14" i="4"/>
  <c r="G14" i="4" s="1"/>
  <c r="F15" i="4"/>
  <c r="G15" i="4" s="1"/>
  <c r="F16" i="4"/>
  <c r="G16" i="4" s="1"/>
  <c r="F17" i="4"/>
  <c r="G17" i="4" s="1"/>
  <c r="F13" i="4"/>
  <c r="G13" i="4" s="1"/>
  <c r="F12" i="4"/>
  <c r="L42" i="3"/>
  <c r="M42" i="3" s="1"/>
  <c r="L41" i="3"/>
  <c r="M41" i="3" s="1"/>
  <c r="N87" i="3" l="1"/>
  <c r="G22" i="4" s="1"/>
  <c r="N91" i="3"/>
  <c r="G23" i="4" s="1"/>
  <c r="M43" i="3"/>
  <c r="N43" i="3" s="1"/>
  <c r="G12" i="4" s="1"/>
  <c r="M83" i="3"/>
  <c r="M78" i="3"/>
  <c r="I83" i="3"/>
  <c r="N83" i="3" s="1"/>
  <c r="G21" i="4" s="1"/>
  <c r="M75" i="3"/>
  <c r="M79" i="3" l="1"/>
  <c r="N79" i="3" s="1"/>
  <c r="G20" i="4" s="1"/>
  <c r="N75" i="3"/>
  <c r="G19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G5" i="4"/>
  <c r="E6" i="2" l="1"/>
  <c r="F4" i="2" l="1"/>
  <c r="F5" i="2"/>
</calcChain>
</file>

<file path=xl/sharedStrings.xml><?xml version="1.0" encoding="utf-8"?>
<sst xmlns="http://schemas.openxmlformats.org/spreadsheetml/2006/main" count="546" uniqueCount="155">
  <si>
    <t>Venue</t>
  </si>
  <si>
    <t>Organisation</t>
  </si>
  <si>
    <t>Status</t>
  </si>
  <si>
    <t>private</t>
  </si>
  <si>
    <t>Month cost</t>
  </si>
  <si>
    <t>Category</t>
  </si>
  <si>
    <t>Code</t>
  </si>
  <si>
    <t>Actions</t>
  </si>
  <si>
    <t>HR costs</t>
  </si>
  <si>
    <t>Cost description</t>
  </si>
  <si>
    <t>HR person month</t>
  </si>
  <si>
    <t>Direct cost E/unit</t>
  </si>
  <si>
    <t>Units</t>
  </si>
  <si>
    <t>Total cost</t>
  </si>
  <si>
    <t>HR involved</t>
  </si>
  <si>
    <t>Direct cost description</t>
  </si>
  <si>
    <t xml:space="preserve">Scenario used to assess the plan </t>
  </si>
  <si>
    <t>Area damages</t>
  </si>
  <si>
    <t>Forest area affected</t>
  </si>
  <si>
    <t>Number of months from the first expenses to the last one</t>
  </si>
  <si>
    <t>Contributors</t>
  </si>
  <si>
    <t>Description damages avoided</t>
  </si>
  <si>
    <t>Total cost saved</t>
  </si>
  <si>
    <t>Comment/sources/additional nformation about this estimate</t>
  </si>
  <si>
    <t>Dates</t>
  </si>
  <si>
    <t>Assumptions made for the assessement</t>
  </si>
  <si>
    <t>…</t>
  </si>
  <si>
    <t>Comments</t>
  </si>
  <si>
    <t>Expenses associated to the plan execution</t>
  </si>
  <si>
    <t>TOTAL</t>
  </si>
  <si>
    <t>Losses avoided by the plan</t>
  </si>
  <si>
    <t>Workshop</t>
  </si>
  <si>
    <t>1. Game role</t>
  </si>
  <si>
    <t>2. Forecast comparaison</t>
  </si>
  <si>
    <t>3. Expert cross-viewing meeting</t>
  </si>
  <si>
    <t>Categories</t>
  </si>
  <si>
    <t>Type</t>
  </si>
  <si>
    <t xml:space="preserve">PLURIFOR PLANS ECONOMIC ASSESSMENT </t>
  </si>
  <si>
    <t>Personnel costs</t>
  </si>
  <si>
    <t>João Rua (ISA)</t>
  </si>
  <si>
    <t>Raiz</t>
  </si>
  <si>
    <t>AltriFlorestal</t>
  </si>
  <si>
    <t>Researcher</t>
  </si>
  <si>
    <t>ISA</t>
  </si>
  <si>
    <t>December 2018</t>
  </si>
  <si>
    <t xml:space="preserve">Various scenarios of defoliation </t>
  </si>
  <si>
    <t>Portugal (mainly North and Center) and Spain (Asturias and Cantabria)</t>
  </si>
  <si>
    <t>Forest engineers, Forest modulation PhD student, Technicians</t>
  </si>
  <si>
    <t>Non Permanent</t>
  </si>
  <si>
    <t xml:space="preserve">Aplication of insecticide </t>
  </si>
  <si>
    <t>Stand treatment</t>
  </si>
  <si>
    <t>Treatment at age 2 (€/ha)</t>
  </si>
  <si>
    <t>Not applicable</t>
  </si>
  <si>
    <t>Different treatments were compared</t>
  </si>
  <si>
    <t>Manuela Branco (ISA); Margarida Tomé (ISA); Susana Barreiro (ISA)</t>
  </si>
  <si>
    <t>Raquel Reis (AltriFlorestal); Carlos Valente (RAIZ); Francisco Goes (CELPA)</t>
  </si>
  <si>
    <t>Juan Majada (CETEMAS); Julio Diez (UVA)</t>
  </si>
  <si>
    <t>Scenarios</t>
  </si>
  <si>
    <t>Monitoring</t>
  </si>
  <si>
    <t>Evaluation</t>
  </si>
  <si>
    <t>Monitoring  defoliation</t>
  </si>
  <si>
    <t>Evalution of treatment efficacy</t>
  </si>
  <si>
    <t>Monitoring assessment</t>
  </si>
  <si>
    <t>Treatament evaluation assessment</t>
  </si>
  <si>
    <t>Wood loss avoided (€/ha)</t>
  </si>
  <si>
    <t>Treatment at age 2 and 3 (€/ha)</t>
  </si>
  <si>
    <t>Treatment at age 2 to 4 (€/ha)</t>
  </si>
  <si>
    <t>Treatment at age 2 to 5 (€/ha)</t>
  </si>
  <si>
    <t>Treatment at age 2 to 6 (€/ha)</t>
  </si>
  <si>
    <t>Treatment at age 2 to 7 (€/ha)</t>
  </si>
  <si>
    <t>Treatment at age 2 to 8 (€/ha)</t>
  </si>
  <si>
    <t>MANAGEMENT DECISIONS</t>
  </si>
  <si>
    <t>Treatment at age 2 to 4  (€/ha)</t>
  </si>
  <si>
    <t>S3 - 50% defoliation</t>
  </si>
  <si>
    <t>Treatment at age 2 to 5  (€/ha)</t>
  </si>
  <si>
    <t>Scenario 3 - 50%defoliation</t>
  </si>
  <si>
    <t>Treatment at age 2 to 7  (€/ha)</t>
  </si>
  <si>
    <t>Treatment at age 2 to 8  (€/ha)</t>
  </si>
  <si>
    <t>Scenario 4 - 75%defoliation</t>
  </si>
  <si>
    <t>S4 - 75% defoliation</t>
  </si>
  <si>
    <t>Scenario</t>
  </si>
  <si>
    <t>S5 - 100% defoliation</t>
  </si>
  <si>
    <t>Description</t>
  </si>
  <si>
    <t>Aplication of insecticide (2 years old)</t>
  </si>
  <si>
    <r>
      <t>Aplication of insecticide  (2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to</t>
    </r>
    <r>
      <rPr>
        <sz val="11"/>
        <color theme="1"/>
        <rFont val="Calibri"/>
        <family val="2"/>
        <scheme val="minor"/>
      </rPr>
      <t xml:space="preserve">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years old)</t>
    </r>
  </si>
  <si>
    <r>
      <t>Aplication of insecticide  (2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>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years old)</t>
    </r>
  </si>
  <si>
    <r>
      <t>Aplication of insecticide  (2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>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years old)</t>
    </r>
  </si>
  <si>
    <r>
      <t>Aplication of insecticide  (2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>7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years old)</t>
    </r>
  </si>
  <si>
    <r>
      <t>Aplication of insecticide  (2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>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years old)</t>
    </r>
  </si>
  <si>
    <t>Scenario 5 - 100%defoliation</t>
  </si>
  <si>
    <t xml:space="preserve">TOTAL </t>
  </si>
  <si>
    <t xml:space="preserve"> Treatment at age 2 and 3 (€/ha)</t>
  </si>
  <si>
    <t>Treatment vs NT (€ / ha)</t>
  </si>
  <si>
    <t>Treatment evaluation assessment</t>
  </si>
  <si>
    <t>Total cost plus interest rate</t>
  </si>
  <si>
    <t>Cost plus interest rate</t>
  </si>
  <si>
    <t>Total cost at 10 years</t>
  </si>
  <si>
    <t>Treatment at ages 2 to 4 (€/ha)</t>
  </si>
  <si>
    <r>
      <t xml:space="preserve">Monitoring of damages caused by </t>
    </r>
    <r>
      <rPr>
        <i/>
        <sz val="11"/>
        <color theme="1"/>
        <rFont val="Calibri"/>
        <family val="2"/>
        <scheme val="minor"/>
      </rPr>
      <t>Gonipterus platensis</t>
    </r>
  </si>
  <si>
    <t>Aplication of insecticide in affected areas</t>
  </si>
  <si>
    <t xml:space="preserve">Monitoring treatment efficacy </t>
  </si>
  <si>
    <t>Aplication of insecticide (years 2 and 3)</t>
  </si>
  <si>
    <t>Aplication of insecticide (years 2 to 4)</t>
  </si>
  <si>
    <t>Aplication of insecticide (years 2 to 5)</t>
  </si>
  <si>
    <t>Aplication of insecticide (years 2 to 6)</t>
  </si>
  <si>
    <t>Aplication of insecticide (years 2 to 7)</t>
  </si>
  <si>
    <t>Aplication of insecticide (years 2 to 8)</t>
  </si>
  <si>
    <t>Intensity of defoliation</t>
  </si>
  <si>
    <t>0% defoliation</t>
  </si>
  <si>
    <t>100% defoliation</t>
  </si>
  <si>
    <t>75% defoliation</t>
  </si>
  <si>
    <t>50% defoliation</t>
  </si>
  <si>
    <t>25% defoliation</t>
  </si>
  <si>
    <t>5% defoliation</t>
  </si>
  <si>
    <t>Clear cut of the stand at age 6</t>
  </si>
  <si>
    <t>Clear cut of the stand at age 7</t>
  </si>
  <si>
    <t>-</t>
  </si>
  <si>
    <t>Clear cut*</t>
  </si>
  <si>
    <t>*Clearcut cost included in the income amount</t>
  </si>
  <si>
    <t>Portugal (option 1)</t>
  </si>
  <si>
    <t>S1</t>
  </si>
  <si>
    <t>S2</t>
  </si>
  <si>
    <t>S4</t>
  </si>
  <si>
    <t>S5</t>
  </si>
  <si>
    <t>Insecticide</t>
  </si>
  <si>
    <t xml:space="preserve"> </t>
  </si>
  <si>
    <t>Defoliation Scenarios</t>
  </si>
  <si>
    <t>S0</t>
  </si>
  <si>
    <t>Treatment at age 2</t>
  </si>
  <si>
    <t xml:space="preserve">Treatment at ages 2 and 3 </t>
  </si>
  <si>
    <t xml:space="preserve">Treatment at ages 2 to 4 </t>
  </si>
  <si>
    <t>Treatment at ages 2 to 5</t>
  </si>
  <si>
    <t>Treatment at ages 2 to 6</t>
  </si>
  <si>
    <t xml:space="preserve">Treatment at ages 2 to 7 </t>
  </si>
  <si>
    <t xml:space="preserve">Treatment at ages 2 to 8 </t>
  </si>
  <si>
    <t>Management decisions</t>
  </si>
  <si>
    <t>Management actions</t>
  </si>
  <si>
    <r>
      <t>Management options per region</t>
    </r>
    <r>
      <rPr>
        <sz val="12"/>
        <color theme="1"/>
        <rFont val="Calibri"/>
        <family val="2"/>
        <scheme val="minor"/>
      </rPr>
      <t xml:space="preserve"> (according to management risk plan of each region)</t>
    </r>
  </si>
  <si>
    <t>4% (inflaction rate)</t>
  </si>
  <si>
    <r>
      <rPr>
        <b/>
        <sz val="12"/>
        <color theme="1"/>
        <rFont val="Calibri"/>
        <family val="2"/>
        <scheme val="minor"/>
      </rPr>
      <t xml:space="preserve">Cost plus interest rate </t>
    </r>
    <r>
      <rPr>
        <sz val="11"/>
        <color theme="1"/>
        <rFont val="Calibri"/>
        <family val="2"/>
        <scheme val="minor"/>
      </rPr>
      <t>(aplicable to all types of costs - monitoring, treatments, Human Resources, etc.)</t>
    </r>
  </si>
  <si>
    <t>Monitoring (ha)</t>
  </si>
  <si>
    <t>Treatment (ha)</t>
  </si>
  <si>
    <t xml:space="preserve">Total damage area (ha) </t>
  </si>
  <si>
    <t>Diference between treatment and non treatment options</t>
  </si>
  <si>
    <t>Human Resources (persons allocated for management actions - month costs)</t>
  </si>
  <si>
    <t>Scenario6 - 100%defoliation with clear cut at 6 years</t>
  </si>
  <si>
    <t xml:space="preserve">Portugal </t>
  </si>
  <si>
    <t>S6</t>
  </si>
  <si>
    <t>Clear cut at age 6</t>
  </si>
  <si>
    <t>S3*</t>
  </si>
  <si>
    <t xml:space="preserve">* defoliation level to which interventions began </t>
  </si>
  <si>
    <t>S6 - 100% defoliation with clear cut at age 5</t>
  </si>
  <si>
    <t xml:space="preserve">AltriFlorestal </t>
  </si>
  <si>
    <t xml:space="preserve">Raiz </t>
  </si>
  <si>
    <t>AltriFlorestal, RAIZ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</si>
</sst>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\ &quot;€&quot;_-;\-* #,##0.00\ &quot;€&quot;_-;_-* &quot;-&quot;???\ &quot;€&quot;_-;_-@_-"/>
    <numFmt numFmtId="167" formatCode="_-* #.##0.000\ &quot;€&quot;_-;\-* #.##0.000\ &quot;€&quot;_-;_-* &quot;-&quot;??\ &quot;€&quot;_-;_-@_-"/>
    <numFmt numFmtId="168" formatCode="_-* #.##.\ &quot;€&quot;_-;\-* #.##.\ &quot;€&quot;_-;_-* &quot;-&quot;??\ &quot;€&quot;_-;_-@_ⴆ"/>
    <numFmt numFmtId="169" formatCode="_-* #.##0\ &quot;€&quot;_-;\-* #.##0\ &quot;€&quot;_-;_-* &quot;-&quot;\ &quot;€&quot;_-;_-@_-"/>
    <numFmt numFmtId="170" formatCode="_-* #.##\ &quot;€&quot;_-;\-* #.##\ &quot;€&quot;_-;_-* &quot;-&quot;\ &quot;€&quot;_-;_-@_-"/>
    <numFmt numFmtId="171" formatCode="#.##\ &quot;€&quot;;\-#.##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26"/>
      <color rgb="FF92D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26"/>
      <color rgb="FF92D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44" fontId="0" fillId="0" borderId="0" xfId="1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0" xfId="0" applyFont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0" fillId="0" borderId="13" xfId="0" applyBorder="1"/>
    <xf numFmtId="0" fontId="8" fillId="0" borderId="13" xfId="0" applyFont="1" applyBorder="1"/>
    <xf numFmtId="0" fontId="0" fillId="0" borderId="14" xfId="0" applyFill="1" applyBorder="1"/>
    <xf numFmtId="0" fontId="0" fillId="0" borderId="15" xfId="0" applyFill="1" applyBorder="1"/>
    <xf numFmtId="0" fontId="2" fillId="0" borderId="13" xfId="0" applyFont="1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0" xfId="0" applyBorder="1"/>
    <xf numFmtId="0" fontId="0" fillId="0" borderId="11" xfId="0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left"/>
    </xf>
    <xf numFmtId="44" fontId="0" fillId="0" borderId="11" xfId="1" applyFont="1" applyFill="1" applyBorder="1"/>
    <xf numFmtId="0" fontId="0" fillId="0" borderId="5" xfId="0" applyFill="1" applyBorder="1"/>
    <xf numFmtId="44" fontId="0" fillId="0" borderId="0" xfId="1" applyFon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/>
    <xf numFmtId="164" fontId="0" fillId="0" borderId="11" xfId="0" applyNumberFormat="1" applyFill="1" applyBorder="1"/>
    <xf numFmtId="0" fontId="2" fillId="0" borderId="0" xfId="0" applyFont="1" applyFill="1" applyBorder="1"/>
    <xf numFmtId="0" fontId="0" fillId="0" borderId="10" xfId="0" applyFill="1" applyBorder="1"/>
    <xf numFmtId="0" fontId="0" fillId="0" borderId="12" xfId="0" applyFill="1" applyBorder="1"/>
    <xf numFmtId="164" fontId="0" fillId="0" borderId="2" xfId="0" applyNumberFormat="1" applyFill="1" applyBorder="1" applyAlignment="1">
      <alignment horizontal="lef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left"/>
    </xf>
    <xf numFmtId="0" fontId="0" fillId="0" borderId="6" xfId="0" applyFill="1" applyBorder="1"/>
    <xf numFmtId="164" fontId="0" fillId="0" borderId="7" xfId="0" applyNumberFormat="1" applyFill="1" applyBorder="1" applyAlignment="1">
      <alignment horizontal="left"/>
    </xf>
    <xf numFmtId="0" fontId="0" fillId="0" borderId="9" xfId="0" applyFill="1" applyBorder="1"/>
    <xf numFmtId="0" fontId="0" fillId="0" borderId="2" xfId="0" applyFill="1" applyBorder="1"/>
    <xf numFmtId="0" fontId="0" fillId="0" borderId="7" xfId="0" applyFill="1" applyBorder="1"/>
    <xf numFmtId="0" fontId="11" fillId="0" borderId="0" xfId="0" applyFont="1" applyAlignment="1">
      <alignment vertical="center"/>
    </xf>
    <xf numFmtId="44" fontId="2" fillId="0" borderId="0" xfId="1" applyFont="1" applyFill="1" applyBorder="1"/>
    <xf numFmtId="0" fontId="0" fillId="0" borderId="8" xfId="0" applyFill="1" applyBorder="1"/>
    <xf numFmtId="164" fontId="0" fillId="0" borderId="8" xfId="0" applyNumberFormat="1" applyFill="1" applyBorder="1" applyAlignment="1">
      <alignment horizontal="right"/>
    </xf>
    <xf numFmtId="164" fontId="0" fillId="0" borderId="12" xfId="0" applyNumberFormat="1" applyFill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44" fontId="2" fillId="0" borderId="0" xfId="1" applyFont="1" applyFill="1" applyBorder="1" applyAlignment="1">
      <alignment horizontal="right"/>
    </xf>
    <xf numFmtId="44" fontId="2" fillId="0" borderId="8" xfId="1" applyFont="1" applyFill="1" applyBorder="1" applyAlignment="1">
      <alignment horizontal="right"/>
    </xf>
    <xf numFmtId="44" fontId="2" fillId="0" borderId="10" xfId="0" applyNumberFormat="1" applyFont="1" applyBorder="1"/>
    <xf numFmtId="44" fontId="2" fillId="0" borderId="11" xfId="0" applyNumberFormat="1" applyFont="1" applyBorder="1"/>
    <xf numFmtId="44" fontId="2" fillId="0" borderId="12" xfId="0" applyNumberFormat="1" applyFont="1" applyBorder="1"/>
    <xf numFmtId="0" fontId="0" fillId="0" borderId="9" xfId="0" applyBorder="1"/>
    <xf numFmtId="0" fontId="2" fillId="0" borderId="0" xfId="0" applyFont="1"/>
    <xf numFmtId="0" fontId="9" fillId="0" borderId="0" xfId="0" applyFont="1"/>
    <xf numFmtId="0" fontId="15" fillId="0" borderId="0" xfId="0" applyFont="1"/>
    <xf numFmtId="43" fontId="0" fillId="0" borderId="0" xfId="5" applyFont="1"/>
    <xf numFmtId="43" fontId="2" fillId="0" borderId="1" xfId="5" applyFont="1" applyBorder="1"/>
    <xf numFmtId="43" fontId="0" fillId="0" borderId="11" xfId="5" applyFont="1" applyFill="1" applyBorder="1"/>
    <xf numFmtId="43" fontId="0" fillId="0" borderId="10" xfId="5" applyFont="1" applyFill="1" applyBorder="1"/>
    <xf numFmtId="43" fontId="0" fillId="0" borderId="12" xfId="5" applyFont="1" applyFill="1" applyBorder="1"/>
    <xf numFmtId="43" fontId="0" fillId="0" borderId="0" xfId="5" applyFont="1" applyFill="1" applyBorder="1"/>
    <xf numFmtId="165" fontId="0" fillId="0" borderId="0" xfId="5" applyNumberFormat="1" applyFont="1"/>
    <xf numFmtId="165" fontId="0" fillId="0" borderId="0" xfId="5" applyNumberFormat="1" applyFont="1" applyFill="1" applyBorder="1"/>
    <xf numFmtId="0" fontId="2" fillId="0" borderId="3" xfId="0" applyFont="1" applyBorder="1"/>
    <xf numFmtId="44" fontId="9" fillId="0" borderId="0" xfId="1" applyFont="1"/>
    <xf numFmtId="9" fontId="0" fillId="0" borderId="0" xfId="0" applyNumberFormat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0" fontId="0" fillId="2" borderId="14" xfId="0" applyFill="1" applyBorder="1"/>
    <xf numFmtId="0" fontId="2" fillId="2" borderId="14" xfId="0" applyFont="1" applyFill="1" applyBorder="1"/>
    <xf numFmtId="44" fontId="2" fillId="2" borderId="14" xfId="0" applyNumberFormat="1" applyFont="1" applyFill="1" applyBorder="1"/>
    <xf numFmtId="44" fontId="0" fillId="2" borderId="14" xfId="0" applyNumberFormat="1" applyFill="1" applyBorder="1"/>
    <xf numFmtId="43" fontId="0" fillId="2" borderId="14" xfId="5" applyFont="1" applyFill="1" applyBorder="1"/>
    <xf numFmtId="44" fontId="2" fillId="2" borderId="1" xfId="0" applyNumberFormat="1" applyFont="1" applyFill="1" applyBorder="1"/>
    <xf numFmtId="0" fontId="0" fillId="2" borderId="15" xfId="0" applyFill="1" applyBorder="1"/>
    <xf numFmtId="44" fontId="0" fillId="0" borderId="2" xfId="1" applyFont="1" applyFill="1" applyBorder="1"/>
    <xf numFmtId="44" fontId="0" fillId="0" borderId="5" xfId="1" applyFont="1" applyFill="1" applyBorder="1"/>
    <xf numFmtId="44" fontId="0" fillId="0" borderId="7" xfId="1" applyFont="1" applyFill="1" applyBorder="1"/>
    <xf numFmtId="43" fontId="0" fillId="2" borderId="1" xfId="5" applyFont="1" applyFill="1" applyBorder="1"/>
    <xf numFmtId="43" fontId="9" fillId="0" borderId="0" xfId="5" applyFont="1"/>
    <xf numFmtId="0" fontId="2" fillId="0" borderId="2" xfId="0" applyFont="1" applyBorder="1"/>
    <xf numFmtId="0" fontId="2" fillId="0" borderId="10" xfId="0" applyFont="1" applyBorder="1"/>
    <xf numFmtId="0" fontId="2" fillId="0" borderId="4" xfId="0" applyFont="1" applyBorder="1"/>
    <xf numFmtId="0" fontId="9" fillId="0" borderId="0" xfId="0" applyFont="1" applyFill="1" applyBorder="1"/>
    <xf numFmtId="0" fontId="2" fillId="0" borderId="14" xfId="0" applyFont="1" applyFill="1" applyBorder="1"/>
    <xf numFmtId="0" fontId="2" fillId="2" borderId="13" xfId="0" applyFont="1" applyFill="1" applyBorder="1"/>
    <xf numFmtId="164" fontId="0" fillId="2" borderId="14" xfId="0" applyNumberFormat="1" applyFill="1" applyBorder="1" applyAlignment="1">
      <alignment horizontal="left"/>
    </xf>
    <xf numFmtId="44" fontId="2" fillId="2" borderId="14" xfId="1" applyFont="1" applyFill="1" applyBorder="1"/>
    <xf numFmtId="0" fontId="0" fillId="2" borderId="8" xfId="0" applyFill="1" applyBorder="1"/>
    <xf numFmtId="44" fontId="2" fillId="2" borderId="14" xfId="5" applyNumberFormat="1" applyFont="1" applyFill="1" applyBorder="1"/>
    <xf numFmtId="44" fontId="2" fillId="2" borderId="13" xfId="5" applyNumberFormat="1" applyFont="1" applyFill="1" applyBorder="1"/>
    <xf numFmtId="44" fontId="2" fillId="2" borderId="1" xfId="5" applyNumberFormat="1" applyFont="1" applyFill="1" applyBorder="1"/>
    <xf numFmtId="166" fontId="2" fillId="2" borderId="14" xfId="0" applyNumberFormat="1" applyFont="1" applyFill="1" applyBorder="1"/>
    <xf numFmtId="0" fontId="0" fillId="0" borderId="7" xfId="0" applyBorder="1"/>
    <xf numFmtId="44" fontId="0" fillId="0" borderId="0" xfId="5" applyNumberFormat="1" applyFont="1" applyFill="1" applyBorder="1"/>
    <xf numFmtId="168" fontId="2" fillId="2" borderId="1" xfId="0" applyNumberFormat="1" applyFont="1" applyFill="1" applyBorder="1"/>
    <xf numFmtId="170" fontId="0" fillId="0" borderId="0" xfId="5" applyNumberFormat="1" applyFont="1" applyFill="1" applyBorder="1"/>
    <xf numFmtId="170" fontId="2" fillId="2" borderId="14" xfId="5" applyNumberFormat="1" applyFont="1" applyFill="1" applyBorder="1"/>
    <xf numFmtId="170" fontId="2" fillId="2" borderId="1" xfId="0" applyNumberFormat="1" applyFont="1" applyFill="1" applyBorder="1"/>
    <xf numFmtId="169" fontId="0" fillId="0" borderId="11" xfId="0" applyNumberFormat="1" applyBorder="1"/>
    <xf numFmtId="170" fontId="0" fillId="0" borderId="12" xfId="5" applyNumberFormat="1" applyFont="1" applyFill="1" applyBorder="1"/>
    <xf numFmtId="170" fontId="2" fillId="2" borderId="8" xfId="5" applyNumberFormat="1" applyFont="1" applyFill="1" applyBorder="1"/>
    <xf numFmtId="43" fontId="0" fillId="0" borderId="5" xfId="5" applyFont="1" applyFill="1" applyBorder="1"/>
    <xf numFmtId="43" fontId="0" fillId="0" borderId="2" xfId="5" applyFont="1" applyFill="1" applyBorder="1"/>
    <xf numFmtId="43" fontId="0" fillId="0" borderId="7" xfId="5" applyFont="1" applyFill="1" applyBorder="1"/>
    <xf numFmtId="0" fontId="0" fillId="0" borderId="0" xfId="0" applyAlignment="1">
      <alignment horizontal="center"/>
    </xf>
    <xf numFmtId="170" fontId="2" fillId="2" borderId="7" xfId="5" applyNumberFormat="1" applyFont="1" applyFill="1" applyBorder="1"/>
    <xf numFmtId="44" fontId="0" fillId="0" borderId="10" xfId="1" applyFont="1" applyFill="1" applyBorder="1"/>
    <xf numFmtId="44" fontId="0" fillId="0" borderId="12" xfId="1" applyFont="1" applyFill="1" applyBorder="1"/>
    <xf numFmtId="171" fontId="2" fillId="2" borderId="13" xfId="5" applyNumberFormat="1" applyFont="1" applyFill="1" applyBorder="1"/>
    <xf numFmtId="43" fontId="0" fillId="2" borderId="13" xfId="5" applyFont="1" applyFill="1" applyBorder="1"/>
    <xf numFmtId="170" fontId="2" fillId="2" borderId="13" xfId="5" applyNumberFormat="1" applyFont="1" applyFill="1" applyBorder="1"/>
    <xf numFmtId="2" fontId="0" fillId="0" borderId="0" xfId="5" applyNumberFormat="1" applyFont="1" applyFill="1" applyBorder="1"/>
    <xf numFmtId="170" fontId="0" fillId="0" borderId="5" xfId="5" applyNumberFormat="1" applyFont="1" applyFill="1" applyBorder="1"/>
    <xf numFmtId="170" fontId="0" fillId="0" borderId="2" xfId="5" applyNumberFormat="1" applyFont="1" applyFill="1" applyBorder="1"/>
    <xf numFmtId="170" fontId="0" fillId="0" borderId="7" xfId="5" applyNumberFormat="1" applyFont="1" applyFill="1" applyBorder="1"/>
    <xf numFmtId="44" fontId="2" fillId="0" borderId="2" xfId="0" applyNumberFormat="1" applyFont="1" applyBorder="1"/>
    <xf numFmtId="44" fontId="2" fillId="0" borderId="10" xfId="1" applyFont="1" applyFill="1" applyBorder="1" applyAlignment="1">
      <alignment horizontal="right"/>
    </xf>
    <xf numFmtId="44" fontId="2" fillId="0" borderId="11" xfId="1" applyFont="1" applyFill="1" applyBorder="1" applyAlignment="1">
      <alignment horizontal="right"/>
    </xf>
    <xf numFmtId="44" fontId="2" fillId="0" borderId="12" xfId="1" applyFont="1" applyFill="1" applyBorder="1" applyAlignment="1">
      <alignment horizontal="right"/>
    </xf>
    <xf numFmtId="44" fontId="2" fillId="0" borderId="5" xfId="0" applyNumberFormat="1" applyFont="1" applyBorder="1"/>
    <xf numFmtId="44" fontId="2" fillId="0" borderId="7" xfId="0" applyNumberFormat="1" applyFont="1" applyBorder="1"/>
    <xf numFmtId="0" fontId="10" fillId="0" borderId="5" xfId="0" applyFont="1" applyFill="1" applyBorder="1"/>
    <xf numFmtId="167" fontId="0" fillId="0" borderId="0" xfId="1" applyNumberFormat="1" applyFont="1" applyFill="1" applyBorder="1"/>
    <xf numFmtId="0" fontId="0" fillId="0" borderId="1" xfId="0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Fill="1" applyBorder="1"/>
    <xf numFmtId="164" fontId="0" fillId="0" borderId="14" xfId="0" applyNumberFormat="1" applyFill="1" applyBorder="1" applyAlignment="1">
      <alignment horizontal="right"/>
    </xf>
    <xf numFmtId="164" fontId="0" fillId="0" borderId="1" xfId="0" applyNumberFormat="1" applyBorder="1"/>
    <xf numFmtId="44" fontId="2" fillId="0" borderId="1" xfId="0" applyNumberFormat="1" applyFont="1" applyBorder="1"/>
    <xf numFmtId="0" fontId="0" fillId="0" borderId="0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8" fillId="0" borderId="1" xfId="0" applyFont="1" applyFill="1" applyBorder="1"/>
    <xf numFmtId="0" fontId="9" fillId="0" borderId="0" xfId="0" applyFont="1" applyBorder="1"/>
    <xf numFmtId="0" fontId="0" fillId="0" borderId="3" xfId="0" applyFill="1" applyBorder="1"/>
    <xf numFmtId="0" fontId="0" fillId="0" borderId="11" xfId="0" applyFill="1" applyBorder="1" applyAlignment="1">
      <alignment wrapText="1"/>
    </xf>
    <xf numFmtId="0" fontId="10" fillId="0" borderId="0" xfId="0" applyFont="1" applyFill="1" applyBorder="1"/>
    <xf numFmtId="0" fontId="19" fillId="0" borderId="0" xfId="0" applyFont="1"/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6">
    <cellStyle name="Comma" xfId="5" builtinId="3"/>
    <cellStyle name="Comma 2" xfId="3"/>
    <cellStyle name="Currency" xfId="1" builtinId="4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19" sqref="G19"/>
    </sheetView>
  </sheetViews>
  <sheetFormatPr defaultRowHeight="15" x14ac:dyDescent="0.25"/>
  <cols>
    <col min="1" max="1" width="57.85546875" customWidth="1"/>
    <col min="2" max="2" width="29.85546875" bestFit="1" customWidth="1"/>
    <col min="3" max="3" width="51.28515625" customWidth="1"/>
  </cols>
  <sheetData>
    <row r="1" spans="1:3" x14ac:dyDescent="0.25">
      <c r="A1" s="12"/>
    </row>
    <row r="2" spans="1:3" x14ac:dyDescent="0.25">
      <c r="A2" s="3"/>
    </row>
    <row r="3" spans="1:3" ht="33.75" x14ac:dyDescent="0.5">
      <c r="A3" s="4" t="s">
        <v>37</v>
      </c>
    </row>
    <row r="4" spans="1:3" x14ac:dyDescent="0.25">
      <c r="A4" s="6"/>
      <c r="B4" s="7"/>
      <c r="C4" s="8"/>
    </row>
    <row r="5" spans="1:3" s="23" customFormat="1" x14ac:dyDescent="0.25">
      <c r="A5" s="150" t="s">
        <v>31</v>
      </c>
      <c r="B5" s="144" t="s">
        <v>24</v>
      </c>
      <c r="C5" s="131" t="s">
        <v>44</v>
      </c>
    </row>
    <row r="6" spans="1:3" s="23" customFormat="1" x14ac:dyDescent="0.25">
      <c r="A6" s="151"/>
      <c r="B6" s="26" t="s">
        <v>0</v>
      </c>
      <c r="C6" s="131" t="s">
        <v>43</v>
      </c>
    </row>
    <row r="7" spans="1:3" s="23" customFormat="1" x14ac:dyDescent="0.25">
      <c r="A7" s="153"/>
      <c r="B7" s="26"/>
      <c r="C7" s="35"/>
    </row>
    <row r="8" spans="1:3" s="23" customFormat="1" x14ac:dyDescent="0.25">
      <c r="A8" s="150" t="s">
        <v>16</v>
      </c>
      <c r="B8" s="43" t="s">
        <v>32</v>
      </c>
      <c r="C8" s="29" t="s">
        <v>45</v>
      </c>
    </row>
    <row r="9" spans="1:3" s="23" customFormat="1" x14ac:dyDescent="0.25">
      <c r="A9" s="151"/>
      <c r="B9" s="29" t="s">
        <v>33</v>
      </c>
      <c r="C9" s="129" t="s">
        <v>53</v>
      </c>
    </row>
    <row r="10" spans="1:3" s="23" customFormat="1" x14ac:dyDescent="0.25">
      <c r="A10" s="151"/>
      <c r="B10" s="29" t="s">
        <v>34</v>
      </c>
      <c r="C10" s="25" t="s">
        <v>47</v>
      </c>
    </row>
    <row r="11" spans="1:3" s="23" customFormat="1" x14ac:dyDescent="0.25">
      <c r="A11" s="152"/>
      <c r="B11" s="36"/>
      <c r="C11" s="36"/>
    </row>
    <row r="12" spans="1:3" s="23" customFormat="1" x14ac:dyDescent="0.25">
      <c r="A12" s="150" t="s">
        <v>25</v>
      </c>
      <c r="B12" s="43"/>
      <c r="C12" s="38"/>
    </row>
    <row r="13" spans="1:3" s="23" customFormat="1" x14ac:dyDescent="0.25">
      <c r="A13" s="151"/>
      <c r="B13" s="26"/>
      <c r="C13" s="40"/>
    </row>
    <row r="14" spans="1:3" s="23" customFormat="1" x14ac:dyDescent="0.25">
      <c r="A14" s="25" t="s">
        <v>17</v>
      </c>
      <c r="B14" s="26" t="s">
        <v>45</v>
      </c>
      <c r="C14" s="40"/>
    </row>
    <row r="15" spans="1:3" s="23" customFormat="1" x14ac:dyDescent="0.25">
      <c r="A15" s="25" t="s">
        <v>18</v>
      </c>
      <c r="B15" s="26" t="s">
        <v>46</v>
      </c>
      <c r="C15" s="40"/>
    </row>
    <row r="16" spans="1:3" s="23" customFormat="1" x14ac:dyDescent="0.25">
      <c r="A16" s="145" t="s">
        <v>19</v>
      </c>
      <c r="B16" s="146" t="s">
        <v>52</v>
      </c>
      <c r="C16" s="40"/>
    </row>
    <row r="17" spans="1:3" s="23" customFormat="1" x14ac:dyDescent="0.25">
      <c r="A17" s="25" t="s">
        <v>26</v>
      </c>
      <c r="B17" s="26"/>
      <c r="C17" s="40"/>
    </row>
    <row r="18" spans="1:3" s="23" customFormat="1" x14ac:dyDescent="0.25">
      <c r="A18" s="25"/>
      <c r="B18" s="26"/>
      <c r="C18" s="40"/>
    </row>
    <row r="19" spans="1:3" s="23" customFormat="1" x14ac:dyDescent="0.25">
      <c r="A19" s="150" t="s">
        <v>20</v>
      </c>
      <c r="B19" s="144" t="s">
        <v>54</v>
      </c>
      <c r="C19" s="38"/>
    </row>
    <row r="20" spans="1:3" s="23" customFormat="1" x14ac:dyDescent="0.25">
      <c r="A20" s="151"/>
      <c r="B20" s="26" t="s">
        <v>39</v>
      </c>
      <c r="C20" s="40"/>
    </row>
    <row r="21" spans="1:3" s="23" customFormat="1" x14ac:dyDescent="0.25">
      <c r="A21" s="151"/>
      <c r="B21" s="26" t="s">
        <v>55</v>
      </c>
      <c r="C21" s="40"/>
    </row>
    <row r="22" spans="1:3" s="23" customFormat="1" x14ac:dyDescent="0.25">
      <c r="A22" s="153"/>
      <c r="B22" s="26" t="s">
        <v>56</v>
      </c>
      <c r="C22" s="40"/>
    </row>
    <row r="23" spans="1:3" s="23" customFormat="1" x14ac:dyDescent="0.25">
      <c r="A23" s="150" t="s">
        <v>27</v>
      </c>
      <c r="B23" s="144"/>
      <c r="C23" s="38"/>
    </row>
    <row r="24" spans="1:3" s="23" customFormat="1" x14ac:dyDescent="0.25">
      <c r="A24" s="151"/>
      <c r="B24" s="26"/>
      <c r="C24" s="40"/>
    </row>
    <row r="25" spans="1:3" s="23" customFormat="1" x14ac:dyDescent="0.25">
      <c r="A25" s="153"/>
      <c r="B25" s="47"/>
      <c r="C25" s="42"/>
    </row>
  </sheetData>
  <mergeCells count="5">
    <mergeCell ref="A8:A11"/>
    <mergeCell ref="A5:A7"/>
    <mergeCell ref="A12:A13"/>
    <mergeCell ref="A19:A22"/>
    <mergeCell ref="A23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6" sqref="C16"/>
    </sheetView>
  </sheetViews>
  <sheetFormatPr defaultRowHeight="15" x14ac:dyDescent="0.25"/>
  <cols>
    <col min="1" max="1" width="23.5703125" customWidth="1"/>
    <col min="2" max="3" width="13.5703125" customWidth="1"/>
    <col min="4" max="4" width="16.85546875" customWidth="1"/>
    <col min="5" max="5" width="12.7109375" customWidth="1"/>
    <col min="6" max="6" width="12.28515625" customWidth="1"/>
  </cols>
  <sheetData>
    <row r="1" spans="1:6" ht="33.75" x14ac:dyDescent="0.5">
      <c r="A1" s="13" t="s">
        <v>38</v>
      </c>
    </row>
    <row r="3" spans="1:6" x14ac:dyDescent="0.25">
      <c r="A3" s="87" t="s">
        <v>1</v>
      </c>
      <c r="B3" s="88" t="s">
        <v>2</v>
      </c>
      <c r="C3" s="70" t="s">
        <v>36</v>
      </c>
      <c r="D3" s="70" t="s">
        <v>5</v>
      </c>
      <c r="E3" s="88" t="s">
        <v>4</v>
      </c>
      <c r="F3" s="89" t="s">
        <v>6</v>
      </c>
    </row>
    <row r="4" spans="1:6" s="26" customFormat="1" x14ac:dyDescent="0.25">
      <c r="A4" s="29" t="s">
        <v>41</v>
      </c>
      <c r="B4" s="26" t="s">
        <v>3</v>
      </c>
      <c r="C4" s="26" t="s">
        <v>48</v>
      </c>
      <c r="D4" s="26" t="s">
        <v>42</v>
      </c>
      <c r="E4" s="26">
        <v>1600</v>
      </c>
      <c r="F4" s="40" t="str">
        <f>LEFT(A4,4)&amp;"-"&amp;LEFT(D4,4)</f>
        <v>Altr-Rese</v>
      </c>
    </row>
    <row r="5" spans="1:6" s="26" customFormat="1" x14ac:dyDescent="0.25">
      <c r="A5" s="29" t="s">
        <v>40</v>
      </c>
      <c r="B5" s="26" t="s">
        <v>3</v>
      </c>
      <c r="C5" s="26" t="s">
        <v>48</v>
      </c>
      <c r="D5" s="26" t="s">
        <v>42</v>
      </c>
      <c r="E5" s="90">
        <v>3000</v>
      </c>
      <c r="F5" s="40" t="str">
        <f t="shared" ref="F5" si="0">LEFT(A5,4)&amp;"-"&amp;LEFT(D5,4)</f>
        <v>Raiz-Rese</v>
      </c>
    </row>
    <row r="6" spans="1:6" x14ac:dyDescent="0.25">
      <c r="A6" s="21" t="s">
        <v>29</v>
      </c>
      <c r="B6" s="19"/>
      <c r="C6" s="19"/>
      <c r="D6" s="19"/>
      <c r="E6" s="91">
        <f>SUM(E5:E5)</f>
        <v>3000</v>
      </c>
      <c r="F6" s="20"/>
    </row>
  </sheetData>
  <autoFilter ref="A3:F6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="80" zoomScaleNormal="80" workbookViewId="0">
      <selection activeCell="P107" sqref="P107"/>
    </sheetView>
  </sheetViews>
  <sheetFormatPr defaultRowHeight="15" x14ac:dyDescent="0.25"/>
  <cols>
    <col min="1" max="1" width="35.42578125" customWidth="1"/>
    <col min="2" max="2" width="19.5703125" customWidth="1"/>
    <col min="3" max="3" width="35.28515625" customWidth="1"/>
    <col min="4" max="4" width="40" customWidth="1"/>
    <col min="5" max="5" width="26.140625" customWidth="1"/>
    <col min="6" max="6" width="13.5703125" customWidth="1"/>
    <col min="7" max="7" width="9" customWidth="1"/>
    <col min="8" max="9" width="18.140625" customWidth="1"/>
    <col min="10" max="10" width="26.42578125" customWidth="1"/>
    <col min="11" max="11" width="11.7109375" customWidth="1"/>
    <col min="12" max="12" width="16.7109375" style="62" customWidth="1"/>
    <col min="13" max="13" width="13.28515625" style="68" customWidth="1"/>
    <col min="14" max="14" width="21.140625" customWidth="1"/>
  </cols>
  <sheetData>
    <row r="1" spans="1:15" ht="33.75" x14ac:dyDescent="0.5">
      <c r="A1" s="13" t="s">
        <v>28</v>
      </c>
      <c r="B1" s="13"/>
    </row>
    <row r="2" spans="1:15" ht="25.5" customHeight="1" x14ac:dyDescent="0.5">
      <c r="A2" s="13"/>
      <c r="B2" s="13"/>
    </row>
    <row r="3" spans="1:15" ht="25.5" customHeight="1" x14ac:dyDescent="0.5">
      <c r="A3" s="61" t="s">
        <v>146</v>
      </c>
      <c r="B3" s="13"/>
    </row>
    <row r="4" spans="1:15" ht="16.5" customHeight="1" x14ac:dyDescent="0.5">
      <c r="A4" s="13"/>
      <c r="B4" s="13"/>
    </row>
    <row r="5" spans="1:15" ht="18.75" customHeight="1" x14ac:dyDescent="0.5">
      <c r="A5" s="45" t="s">
        <v>75</v>
      </c>
      <c r="B5" s="13"/>
      <c r="G5" s="60"/>
    </row>
    <row r="6" spans="1:15" s="5" customFormat="1" x14ac:dyDescent="0.25">
      <c r="A6"/>
      <c r="B6"/>
      <c r="C6"/>
      <c r="D6"/>
      <c r="E6"/>
      <c r="F6"/>
      <c r="G6"/>
      <c r="H6" s="1"/>
      <c r="I6" s="71"/>
      <c r="J6"/>
      <c r="K6" s="60"/>
      <c r="L6" s="86"/>
      <c r="M6" s="71"/>
      <c r="N6" s="143"/>
    </row>
    <row r="7" spans="1:15" s="5" customFormat="1" x14ac:dyDescent="0.25">
      <c r="A7" s="14" t="s">
        <v>71</v>
      </c>
      <c r="B7" s="18" t="s">
        <v>35</v>
      </c>
      <c r="C7" s="15" t="s">
        <v>7</v>
      </c>
      <c r="D7" s="16" t="s">
        <v>9</v>
      </c>
      <c r="E7" s="15" t="s">
        <v>15</v>
      </c>
      <c r="F7" s="16" t="s">
        <v>11</v>
      </c>
      <c r="G7" s="16" t="s">
        <v>12</v>
      </c>
      <c r="H7" s="15" t="s">
        <v>13</v>
      </c>
      <c r="I7" s="16" t="s">
        <v>94</v>
      </c>
      <c r="J7" s="16" t="s">
        <v>14</v>
      </c>
      <c r="K7" s="16" t="s">
        <v>10</v>
      </c>
      <c r="L7" s="63" t="s">
        <v>8</v>
      </c>
      <c r="M7" s="16" t="s">
        <v>95</v>
      </c>
      <c r="N7" s="142" t="s">
        <v>96</v>
      </c>
    </row>
    <row r="8" spans="1:15" s="23" customFormat="1" x14ac:dyDescent="0.25">
      <c r="A8" s="29" t="s">
        <v>51</v>
      </c>
      <c r="B8" s="25" t="s">
        <v>50</v>
      </c>
      <c r="C8" s="26" t="s">
        <v>49</v>
      </c>
      <c r="D8" s="25" t="s">
        <v>83</v>
      </c>
      <c r="E8" s="25" t="s">
        <v>51</v>
      </c>
      <c r="F8" s="27">
        <v>40</v>
      </c>
      <c r="G8" s="26">
        <v>1</v>
      </c>
      <c r="H8" s="28">
        <f>G8*F8</f>
        <v>40</v>
      </c>
      <c r="I8" s="30">
        <f>F8*(1.04)^8</f>
        <v>54.74276201621096</v>
      </c>
      <c r="J8" s="35" t="s">
        <v>154</v>
      </c>
      <c r="K8" s="35">
        <f>(0.25/600+0.25/600)</f>
        <v>8.3333333333333339E-4</v>
      </c>
      <c r="L8" s="64">
        <f>'Personnel costs'!$E$5*K8</f>
        <v>2.5</v>
      </c>
      <c r="M8" s="119">
        <f>L8*(1.04)^8</f>
        <v>3.421422626013185</v>
      </c>
      <c r="N8" s="35"/>
    </row>
    <row r="9" spans="1:15" s="23" customFormat="1" x14ac:dyDescent="0.25">
      <c r="B9" s="25" t="s">
        <v>58</v>
      </c>
      <c r="C9" s="26" t="s">
        <v>60</v>
      </c>
      <c r="D9" s="25" t="s">
        <v>62</v>
      </c>
      <c r="E9" s="25"/>
      <c r="F9" s="27">
        <v>3.8</v>
      </c>
      <c r="G9" s="26">
        <v>1</v>
      </c>
      <c r="H9" s="28">
        <f t="shared" ref="H9:H10" si="0">G9*F9</f>
        <v>3.8</v>
      </c>
      <c r="I9" s="30">
        <f t="shared" ref="I9:I10" si="1">F9*(1.04)^8</f>
        <v>5.200562391540041</v>
      </c>
      <c r="J9" s="25" t="s">
        <v>154</v>
      </c>
      <c r="K9" s="25">
        <f>(1/24000+1/22000)</f>
        <v>8.7121212121212124E-5</v>
      </c>
      <c r="L9" s="64">
        <f>'Personnel costs'!$E$5*K9</f>
        <v>0.26136363636363635</v>
      </c>
      <c r="M9" s="119">
        <f t="shared" ref="M9:M10" si="2">L9*(1.04)^8</f>
        <v>0.35769418362865119</v>
      </c>
      <c r="N9" s="25"/>
    </row>
    <row r="10" spans="1:15" s="23" customFormat="1" x14ac:dyDescent="0.25">
      <c r="B10" s="25" t="s">
        <v>59</v>
      </c>
      <c r="C10" s="26" t="s">
        <v>61</v>
      </c>
      <c r="D10" s="25" t="s">
        <v>93</v>
      </c>
      <c r="E10" s="25"/>
      <c r="F10" s="27">
        <v>3.8</v>
      </c>
      <c r="G10" s="26">
        <v>1</v>
      </c>
      <c r="H10" s="28">
        <f t="shared" si="0"/>
        <v>3.8</v>
      </c>
      <c r="I10" s="30">
        <f t="shared" si="1"/>
        <v>5.200562391540041</v>
      </c>
      <c r="J10" s="36" t="s">
        <v>154</v>
      </c>
      <c r="K10" s="36">
        <f>(0.25/600+0.25/600)</f>
        <v>8.3333333333333339E-4</v>
      </c>
      <c r="L10" s="64">
        <f>'Personnel costs'!$E$5*K10</f>
        <v>2.5</v>
      </c>
      <c r="M10" s="119">
        <f t="shared" si="2"/>
        <v>3.421422626013185</v>
      </c>
      <c r="N10" s="25"/>
    </row>
    <row r="11" spans="1:15" x14ac:dyDescent="0.25">
      <c r="A11" s="73" t="s">
        <v>29</v>
      </c>
      <c r="B11" s="74"/>
      <c r="C11" s="75"/>
      <c r="D11" s="75"/>
      <c r="E11" s="75"/>
      <c r="F11" s="75"/>
      <c r="G11" s="75"/>
      <c r="H11" s="77"/>
      <c r="I11" s="77">
        <f>SUM(I8:I10)</f>
        <v>65.143886799291039</v>
      </c>
      <c r="J11" s="78"/>
      <c r="K11" s="78"/>
      <c r="L11" s="79"/>
      <c r="M11" s="104">
        <f>SUM(M8:M10)</f>
        <v>7.2005394356550214</v>
      </c>
      <c r="N11" s="105">
        <f>I11+M11</f>
        <v>72.344426234946056</v>
      </c>
    </row>
    <row r="12" spans="1:15" x14ac:dyDescent="0.25">
      <c r="A12" s="29" t="s">
        <v>65</v>
      </c>
      <c r="B12" s="25" t="s">
        <v>50</v>
      </c>
      <c r="C12" s="26" t="s">
        <v>49</v>
      </c>
      <c r="D12" s="25" t="s">
        <v>101</v>
      </c>
      <c r="E12" s="25" t="s">
        <v>65</v>
      </c>
      <c r="F12" s="27">
        <v>40</v>
      </c>
      <c r="G12" s="26">
        <v>2</v>
      </c>
      <c r="H12" s="28">
        <f>G12*F12</f>
        <v>80</v>
      </c>
      <c r="I12" s="30">
        <f>F12*(1.04)^8+F12*(1.04)^7</f>
        <v>107.38003318564458</v>
      </c>
      <c r="J12" s="35" t="s">
        <v>154</v>
      </c>
      <c r="K12" s="35">
        <f>(0.25/600+0.25/600)</f>
        <v>8.3333333333333339E-4</v>
      </c>
      <c r="L12" s="64">
        <f>'Personnel costs'!$E$5*K12</f>
        <v>2.5</v>
      </c>
      <c r="M12" s="119">
        <f>L12*(1.04)^8+L12*(1.04)^7</f>
        <v>6.7112520741027861</v>
      </c>
      <c r="N12" s="10"/>
    </row>
    <row r="13" spans="1:15" x14ac:dyDescent="0.25">
      <c r="A13" s="23"/>
      <c r="B13" s="25" t="s">
        <v>58</v>
      </c>
      <c r="C13" s="26" t="s">
        <v>60</v>
      </c>
      <c r="D13" s="25" t="s">
        <v>62</v>
      </c>
      <c r="E13" s="25"/>
      <c r="F13" s="27">
        <v>3.8</v>
      </c>
      <c r="G13" s="26">
        <v>2</v>
      </c>
      <c r="H13" s="28">
        <f t="shared" ref="H13:H14" si="3">G13*F13</f>
        <v>7.6</v>
      </c>
      <c r="I13" s="30">
        <f>F13*(1.04)^8+F13*(1.04)^7</f>
        <v>10.201103152636234</v>
      </c>
      <c r="J13" s="25" t="s">
        <v>154</v>
      </c>
      <c r="K13" s="25">
        <f>(1/24000+1/22000)</f>
        <v>8.7121212121212124E-5</v>
      </c>
      <c r="L13" s="64">
        <f>'Personnel costs'!$E$5*K13</f>
        <v>0.26136363636363635</v>
      </c>
      <c r="M13" s="119">
        <f>L13*(1.04)^8+L13*(1.04)^7</f>
        <v>0.70163089865620032</v>
      </c>
      <c r="N13" s="10"/>
    </row>
    <row r="14" spans="1:15" x14ac:dyDescent="0.25">
      <c r="A14" s="23"/>
      <c r="B14" s="25" t="s">
        <v>59</v>
      </c>
      <c r="C14" s="26" t="s">
        <v>61</v>
      </c>
      <c r="D14" s="25" t="s">
        <v>63</v>
      </c>
      <c r="E14" s="25"/>
      <c r="F14" s="27">
        <v>3.8</v>
      </c>
      <c r="G14" s="26">
        <v>2</v>
      </c>
      <c r="H14" s="28">
        <f t="shared" si="3"/>
        <v>7.6</v>
      </c>
      <c r="I14" s="30">
        <f>F14*(1.04)^8+F14*(1.04)^7</f>
        <v>10.201103152636234</v>
      </c>
      <c r="J14" s="36" t="s">
        <v>154</v>
      </c>
      <c r="K14" s="36">
        <f>(0.25/600+0.25/600)</f>
        <v>8.3333333333333339E-4</v>
      </c>
      <c r="L14" s="64">
        <f>'Personnel costs'!$E$5*K14</f>
        <v>2.5</v>
      </c>
      <c r="M14" s="119">
        <f>L14*(1.04)^8+L14*(1.04)^7</f>
        <v>6.7112520741027861</v>
      </c>
      <c r="N14" s="10"/>
    </row>
    <row r="15" spans="1:15" x14ac:dyDescent="0.25">
      <c r="A15" s="73" t="s">
        <v>29</v>
      </c>
      <c r="B15" s="74"/>
      <c r="C15" s="75"/>
      <c r="D15" s="75"/>
      <c r="E15" s="75"/>
      <c r="F15" s="75"/>
      <c r="G15" s="75"/>
      <c r="H15" s="77"/>
      <c r="I15" s="77">
        <f>SUM(I12:I14)</f>
        <v>127.78223949091705</v>
      </c>
      <c r="J15" s="78"/>
      <c r="K15" s="78"/>
      <c r="L15" s="79"/>
      <c r="M15" s="104">
        <f>SUM(M12:M14)</f>
        <v>14.124135046861772</v>
      </c>
      <c r="N15" s="105">
        <f>I15+M15</f>
        <v>141.90637453777882</v>
      </c>
      <c r="O15" s="9"/>
    </row>
    <row r="16" spans="1:15" s="5" customFormat="1" ht="17.25" x14ac:dyDescent="0.25">
      <c r="A16" s="29" t="s">
        <v>72</v>
      </c>
      <c r="B16" s="25" t="s">
        <v>50</v>
      </c>
      <c r="C16" s="26" t="s">
        <v>49</v>
      </c>
      <c r="D16" s="25" t="s">
        <v>84</v>
      </c>
      <c r="E16" s="25" t="s">
        <v>66</v>
      </c>
      <c r="F16" s="27">
        <v>40</v>
      </c>
      <c r="G16" s="26">
        <v>3</v>
      </c>
      <c r="H16" s="28">
        <f>G16*F16</f>
        <v>120</v>
      </c>
      <c r="I16" s="30">
        <f>F16*(1.04)^8+F16*(1.04)^7+F16*(1.04)^6</f>
        <v>157.99279392548459</v>
      </c>
      <c r="J16" s="35" t="s">
        <v>154</v>
      </c>
      <c r="K16" s="35">
        <f>(0.25/600+0.25/600)</f>
        <v>8.3333333333333339E-4</v>
      </c>
      <c r="L16" s="64">
        <f>'Personnel costs'!$E$5*K16</f>
        <v>2.5</v>
      </c>
      <c r="M16" s="119">
        <f>L16*(1.04)^8+L16*(1.04)^7+L16*(1.04)^6</f>
        <v>9.8745496203427869</v>
      </c>
      <c r="N16" s="10"/>
    </row>
    <row r="17" spans="1:15" s="5" customFormat="1" x14ac:dyDescent="0.25">
      <c r="A17" s="23"/>
      <c r="B17" s="25" t="s">
        <v>58</v>
      </c>
      <c r="C17" s="26" t="s">
        <v>60</v>
      </c>
      <c r="D17" s="25" t="s">
        <v>62</v>
      </c>
      <c r="E17" s="25"/>
      <c r="F17" s="27">
        <v>3.8</v>
      </c>
      <c r="G17" s="26">
        <v>3</v>
      </c>
      <c r="H17" s="28">
        <f>G17*F17</f>
        <v>11.399999999999999</v>
      </c>
      <c r="I17" s="30">
        <f t="shared" ref="I17:I18" si="4">F17*(1.04)^8+F17*(1.04)^7+F17*(1.04)^6</f>
        <v>15.009315422921034</v>
      </c>
      <c r="J17" s="25" t="s">
        <v>154</v>
      </c>
      <c r="K17" s="25">
        <f>(1/24000+1/22000)</f>
        <v>8.7121212121212124E-5</v>
      </c>
      <c r="L17" s="64">
        <f>'Personnel costs'!$E$5*K17</f>
        <v>0.26136363636363635</v>
      </c>
      <c r="M17" s="119">
        <f>L17*(1.04)^8+L17*(1.04)^7+L17*(1.04)^6</f>
        <v>1.0323392784903822</v>
      </c>
      <c r="N17" s="10"/>
    </row>
    <row r="18" spans="1:15" s="5" customFormat="1" x14ac:dyDescent="0.25">
      <c r="A18" s="23"/>
      <c r="B18" s="25" t="s">
        <v>59</v>
      </c>
      <c r="C18" s="26" t="s">
        <v>61</v>
      </c>
      <c r="D18" s="25" t="s">
        <v>63</v>
      </c>
      <c r="E18" s="25"/>
      <c r="F18" s="27">
        <v>3.8</v>
      </c>
      <c r="G18" s="26">
        <v>3</v>
      </c>
      <c r="H18" s="28">
        <f>G18*F18</f>
        <v>11.399999999999999</v>
      </c>
      <c r="I18" s="30">
        <f t="shared" si="4"/>
        <v>15.009315422921034</v>
      </c>
      <c r="J18" s="36" t="s">
        <v>154</v>
      </c>
      <c r="K18" s="36">
        <f>(0.25/600+0.25/600)</f>
        <v>8.3333333333333339E-4</v>
      </c>
      <c r="L18" s="64">
        <f>'Personnel costs'!$E$5*K18</f>
        <v>2.5</v>
      </c>
      <c r="M18" s="119">
        <f>L18*(1.04)^8+L18*(1.04)^7+L18*(1.04)^6</f>
        <v>9.8745496203427869</v>
      </c>
      <c r="N18" s="10"/>
    </row>
    <row r="19" spans="1:15" s="5" customFormat="1" x14ac:dyDescent="0.25">
      <c r="A19" s="73" t="s">
        <v>29</v>
      </c>
      <c r="B19" s="74"/>
      <c r="C19" s="75"/>
      <c r="D19" s="75"/>
      <c r="E19" s="75"/>
      <c r="F19" s="75"/>
      <c r="G19" s="75"/>
      <c r="H19" s="77"/>
      <c r="I19" s="77">
        <f>SUM(I16:I18)</f>
        <v>188.01142477132663</v>
      </c>
      <c r="J19" s="78"/>
      <c r="K19" s="78"/>
      <c r="L19" s="117"/>
      <c r="M19" s="104">
        <f>SUM(M16:M18)</f>
        <v>20.781438519175957</v>
      </c>
      <c r="N19" s="105">
        <f>I19+M19</f>
        <v>208.79286329050259</v>
      </c>
      <c r="O19" s="9"/>
    </row>
    <row r="20" spans="1:15" s="5" customFormat="1" ht="17.25" x14ac:dyDescent="0.25">
      <c r="A20" s="26" t="s">
        <v>74</v>
      </c>
      <c r="B20" s="35" t="s">
        <v>50</v>
      </c>
      <c r="C20" s="26" t="s">
        <v>49</v>
      </c>
      <c r="D20" s="25" t="s">
        <v>85</v>
      </c>
      <c r="E20" s="25" t="s">
        <v>67</v>
      </c>
      <c r="F20" s="37">
        <v>40</v>
      </c>
      <c r="G20" s="38">
        <v>4</v>
      </c>
      <c r="H20" s="30">
        <f>G20*F20</f>
        <v>160</v>
      </c>
      <c r="I20" s="114">
        <f>F20*(1.04)^8+F20*(1.04)^7+F20*(1.04)^6+F20*(1.04)^5</f>
        <v>206.65891002148459</v>
      </c>
      <c r="J20" s="43" t="s">
        <v>154</v>
      </c>
      <c r="K20" s="35">
        <f>(0.25/600+0.25/600)</f>
        <v>8.3333333333333339E-4</v>
      </c>
      <c r="L20" s="65">
        <f>'Personnel costs'!$E$5*K20</f>
        <v>2.5</v>
      </c>
      <c r="M20" s="119">
        <f>L20*(1.04)^8+L20*(1.04)^7+L20*(1.04)^6+L20*(1.04)^5</f>
        <v>12.916181876342787</v>
      </c>
      <c r="N20" s="10"/>
    </row>
    <row r="21" spans="1:15" s="5" customFormat="1" x14ac:dyDescent="0.25">
      <c r="A21" s="26"/>
      <c r="B21" s="25" t="s">
        <v>58</v>
      </c>
      <c r="C21" s="26" t="s">
        <v>60</v>
      </c>
      <c r="D21" s="25" t="s">
        <v>62</v>
      </c>
      <c r="E21" s="26"/>
      <c r="F21" s="39">
        <v>3.8</v>
      </c>
      <c r="G21" s="40">
        <v>4</v>
      </c>
      <c r="H21" s="30">
        <f>G21*F21</f>
        <v>15.2</v>
      </c>
      <c r="I21" s="28">
        <f t="shared" ref="I21:I22" si="5">F21*(1.04)^8+F21*(1.04)^7+F21*(1.04)^6+F21*(1.04)^5</f>
        <v>19.632596452041035</v>
      </c>
      <c r="J21" s="29" t="s">
        <v>154</v>
      </c>
      <c r="K21" s="25">
        <f>(1/24000+1/22000)</f>
        <v>8.7121212121212124E-5</v>
      </c>
      <c r="L21" s="64">
        <f>'Personnel costs'!$E$5*K21</f>
        <v>0.26136363636363635</v>
      </c>
      <c r="M21" s="119">
        <f>L21*(1.04)^8+L21*(1.04)^7+L21*(1.04)^6+L21*(1.04)^5</f>
        <v>1.3503281052540186</v>
      </c>
      <c r="N21" s="10"/>
    </row>
    <row r="22" spans="1:15" s="5" customFormat="1" x14ac:dyDescent="0.25">
      <c r="A22" s="26"/>
      <c r="B22" s="36" t="s">
        <v>59</v>
      </c>
      <c r="C22" s="26" t="s">
        <v>61</v>
      </c>
      <c r="D22" s="36" t="s">
        <v>63</v>
      </c>
      <c r="E22" s="26"/>
      <c r="F22" s="41">
        <v>3.8</v>
      </c>
      <c r="G22" s="42">
        <v>4</v>
      </c>
      <c r="H22" s="30">
        <f>G22*F22</f>
        <v>15.2</v>
      </c>
      <c r="I22" s="115">
        <f t="shared" si="5"/>
        <v>19.632596452041035</v>
      </c>
      <c r="J22" s="44" t="s">
        <v>154</v>
      </c>
      <c r="K22" s="36">
        <f>(0.25/600+0.25/600)</f>
        <v>8.3333333333333339E-4</v>
      </c>
      <c r="L22" s="66">
        <f>'Personnel costs'!$E$5*K22</f>
        <v>2.5</v>
      </c>
      <c r="M22" s="119">
        <f>L22*(1.04)^8+L22*(1.04)^7+L22*(1.04)^6+L22*(1.04)^5</f>
        <v>12.916181876342787</v>
      </c>
      <c r="N22" s="10"/>
    </row>
    <row r="23" spans="1:15" s="5" customFormat="1" x14ac:dyDescent="0.25">
      <c r="A23" s="92" t="s">
        <v>29</v>
      </c>
      <c r="B23" s="75"/>
      <c r="C23" s="75"/>
      <c r="D23" s="75"/>
      <c r="E23" s="75"/>
      <c r="F23" s="93"/>
      <c r="G23" s="75"/>
      <c r="H23" s="94"/>
      <c r="I23" s="94">
        <f>SUM(I20:I22)</f>
        <v>245.92410292556667</v>
      </c>
      <c r="J23" s="75"/>
      <c r="K23" s="75"/>
      <c r="L23" s="79"/>
      <c r="M23" s="104">
        <f>SUM(M20:M22)</f>
        <v>27.182691857939592</v>
      </c>
      <c r="N23" s="105">
        <f>I23+M23</f>
        <v>273.10679478350625</v>
      </c>
      <c r="O23" s="9"/>
    </row>
    <row r="24" spans="1:15" s="5" customFormat="1" ht="17.25" x14ac:dyDescent="0.25">
      <c r="A24" s="26" t="s">
        <v>68</v>
      </c>
      <c r="B24" s="35" t="s">
        <v>50</v>
      </c>
      <c r="C24" s="26" t="s">
        <v>49</v>
      </c>
      <c r="D24" s="25" t="s">
        <v>86</v>
      </c>
      <c r="E24" s="25" t="s">
        <v>68</v>
      </c>
      <c r="F24" s="37">
        <v>40</v>
      </c>
      <c r="G24" s="38">
        <v>5</v>
      </c>
      <c r="H24" s="30">
        <f>G24*F24</f>
        <v>200</v>
      </c>
      <c r="I24" s="114">
        <f>F24*(1.04)^8+F24*(1.04)^7+F24*(1.04)^6+F24*(1.04)^5+F24*(1.04)^4</f>
        <v>253.45325242148459</v>
      </c>
      <c r="J24" s="43" t="s">
        <v>154</v>
      </c>
      <c r="K24" s="35">
        <f>(0.25/600+0.25/600)</f>
        <v>8.3333333333333339E-4</v>
      </c>
      <c r="L24" s="65">
        <f>'Personnel costs'!$E$5*K24</f>
        <v>2.5</v>
      </c>
      <c r="M24" s="119">
        <f>L24*(1.04)^8+L24*(1.04)^7+L24*(1.04)^6+L24*(1.04)^5+L24*(1.04)^4</f>
        <v>15.840828276342787</v>
      </c>
      <c r="N24" s="10"/>
    </row>
    <row r="25" spans="1:15" s="5" customFormat="1" x14ac:dyDescent="0.25">
      <c r="A25" s="26"/>
      <c r="B25" s="25" t="s">
        <v>58</v>
      </c>
      <c r="C25" s="26" t="s">
        <v>60</v>
      </c>
      <c r="D25" s="25" t="s">
        <v>62</v>
      </c>
      <c r="E25" s="26"/>
      <c r="F25" s="39">
        <v>3.8</v>
      </c>
      <c r="G25" s="40">
        <v>5</v>
      </c>
      <c r="H25" s="30">
        <f>G25*F25</f>
        <v>19</v>
      </c>
      <c r="I25" s="28">
        <f>F25*(1.04)^8+F25*(1.04)^7+F25*(1.04)^6+F25*(1.04)^5+F25*(1.04)^4</f>
        <v>24.078058980041035</v>
      </c>
      <c r="J25" s="29" t="s">
        <v>154</v>
      </c>
      <c r="K25" s="25">
        <f>(1/24000+1/22000)</f>
        <v>8.7121212121212124E-5</v>
      </c>
      <c r="L25" s="64">
        <f>'Personnel costs'!$E$5*K25</f>
        <v>0.26136363636363635</v>
      </c>
      <c r="M25" s="119">
        <f t="shared" ref="M25:M26" si="6">L25*(1.04)^8+L25*(1.04)^7+L25*(1.04)^6+L25*(1.04)^5+L25*(1.04)^4</f>
        <v>1.6560865925267458</v>
      </c>
      <c r="N25" s="10"/>
    </row>
    <row r="26" spans="1:15" s="5" customFormat="1" x14ac:dyDescent="0.25">
      <c r="A26" s="26"/>
      <c r="B26" s="36" t="s">
        <v>59</v>
      </c>
      <c r="C26" s="26" t="s">
        <v>61</v>
      </c>
      <c r="D26" s="36" t="s">
        <v>63</v>
      </c>
      <c r="E26" s="26"/>
      <c r="F26" s="41">
        <v>3.8</v>
      </c>
      <c r="G26" s="42">
        <v>5</v>
      </c>
      <c r="H26" s="30">
        <f>G26*F26</f>
        <v>19</v>
      </c>
      <c r="I26" s="115">
        <f>F26*(1.04)^8+F26*(1.04)^7+F26*(1.04)^6+F26*(1.04)^5+F26*(1.04)^4</f>
        <v>24.078058980041035</v>
      </c>
      <c r="J26" s="44" t="s">
        <v>154</v>
      </c>
      <c r="K26" s="36">
        <f>(0.25/600+0.25/600)</f>
        <v>8.3333333333333339E-4</v>
      </c>
      <c r="L26" s="66">
        <f>'Personnel costs'!$E$5*K26</f>
        <v>2.5</v>
      </c>
      <c r="M26" s="119">
        <f t="shared" si="6"/>
        <v>15.840828276342787</v>
      </c>
      <c r="N26" s="10"/>
    </row>
    <row r="27" spans="1:15" s="5" customFormat="1" x14ac:dyDescent="0.25">
      <c r="A27" s="92" t="s">
        <v>29</v>
      </c>
      <c r="B27" s="75"/>
      <c r="C27" s="75"/>
      <c r="D27" s="75"/>
      <c r="E27" s="75"/>
      <c r="F27" s="93"/>
      <c r="G27" s="75"/>
      <c r="H27" s="94"/>
      <c r="I27" s="94">
        <f>SUM(I24:I26)</f>
        <v>301.60937038156663</v>
      </c>
      <c r="J27" s="75"/>
      <c r="K27" s="75"/>
      <c r="L27" s="79"/>
      <c r="M27" s="104">
        <f>SUM(M24:M26)</f>
        <v>33.337743145212315</v>
      </c>
      <c r="N27" s="105">
        <f>I27+M27</f>
        <v>334.94711352677894</v>
      </c>
      <c r="O27" s="9"/>
    </row>
    <row r="28" spans="1:15" s="5" customFormat="1" ht="17.25" x14ac:dyDescent="0.25">
      <c r="A28" s="26" t="s">
        <v>76</v>
      </c>
      <c r="B28" s="35" t="s">
        <v>50</v>
      </c>
      <c r="C28" s="26" t="s">
        <v>49</v>
      </c>
      <c r="D28" s="25" t="s">
        <v>87</v>
      </c>
      <c r="E28" s="25" t="s">
        <v>69</v>
      </c>
      <c r="F28" s="37">
        <v>40</v>
      </c>
      <c r="G28" s="38">
        <v>6</v>
      </c>
      <c r="H28" s="30">
        <f>G28*F28</f>
        <v>240</v>
      </c>
      <c r="I28" s="114">
        <f>F28*(1.04)^8+F28*(1.04)^7+F28*(1.04)^6+F28*(1.04)^5+F28*(1.04)^4+F28*(1.04)^3</f>
        <v>298.44781242148463</v>
      </c>
      <c r="J28" s="43" t="s">
        <v>154</v>
      </c>
      <c r="K28" s="35">
        <f>(0.25/600+0.25/600)</f>
        <v>8.3333333333333339E-4</v>
      </c>
      <c r="L28" s="65">
        <f>'Personnel costs'!$E$5*K28</f>
        <v>2.5</v>
      </c>
      <c r="M28" s="119">
        <f>L28*(1.04)^8+L28*(1.04)^7+L28*(1.04)^6+L28*(1.04)^5+L28*(1.04)^4+L28*(1.04)^3</f>
        <v>18.652988276342789</v>
      </c>
      <c r="N28" s="10"/>
    </row>
    <row r="29" spans="1:15" s="5" customFormat="1" x14ac:dyDescent="0.25">
      <c r="A29" s="26"/>
      <c r="B29" s="25" t="s">
        <v>58</v>
      </c>
      <c r="C29" s="26" t="s">
        <v>60</v>
      </c>
      <c r="D29" s="25" t="s">
        <v>62</v>
      </c>
      <c r="E29" s="26"/>
      <c r="F29" s="39">
        <v>3.8</v>
      </c>
      <c r="G29" s="40">
        <v>6</v>
      </c>
      <c r="H29" s="30">
        <f>G29*F29</f>
        <v>22.799999999999997</v>
      </c>
      <c r="I29" s="28">
        <f>F29*(1.04)^8+F29*(1.04)^7+F29*(1.04)^6+F29*(1.04)^5+F29*(1.04)^4+F29*(1.04)^3</f>
        <v>28.352542180041034</v>
      </c>
      <c r="J29" s="29" t="s">
        <v>154</v>
      </c>
      <c r="K29" s="25">
        <f>(1/24000+1/22000)</f>
        <v>8.7121212121212124E-5</v>
      </c>
      <c r="L29" s="64">
        <f>'Personnel costs'!$E$5*K29</f>
        <v>0.26136363636363635</v>
      </c>
      <c r="M29" s="119">
        <f t="shared" ref="M29:M30" si="7">L29*(1.04)^8+L29*(1.04)^7+L29*(1.04)^6+L29*(1.04)^5+L29*(1.04)^4+L29*(1.04)^3</f>
        <v>1.9500851379812913</v>
      </c>
      <c r="N29" s="10"/>
    </row>
    <row r="30" spans="1:15" s="5" customFormat="1" x14ac:dyDescent="0.25">
      <c r="A30" s="26"/>
      <c r="B30" s="36" t="s">
        <v>59</v>
      </c>
      <c r="C30" s="26" t="s">
        <v>61</v>
      </c>
      <c r="D30" s="36" t="s">
        <v>63</v>
      </c>
      <c r="E30" s="26"/>
      <c r="F30" s="41">
        <v>3.8</v>
      </c>
      <c r="G30" s="42">
        <v>6</v>
      </c>
      <c r="H30" s="30">
        <f>G30*F30</f>
        <v>22.799999999999997</v>
      </c>
      <c r="I30" s="115">
        <f>F30*(1.04)^8+F30*(1.04)^7+F30*(1.04)^6+F30*(1.04)^5+F30*(1.04)^4+F30*(1.04)^3</f>
        <v>28.352542180041034</v>
      </c>
      <c r="J30" s="44" t="s">
        <v>154</v>
      </c>
      <c r="K30" s="36">
        <f>(0.25/600+0.25/600)</f>
        <v>8.3333333333333339E-4</v>
      </c>
      <c r="L30" s="66">
        <f>'Personnel costs'!$E$5*K30</f>
        <v>2.5</v>
      </c>
      <c r="M30" s="119">
        <f t="shared" si="7"/>
        <v>18.652988276342789</v>
      </c>
      <c r="N30" s="10"/>
    </row>
    <row r="31" spans="1:15" s="5" customFormat="1" x14ac:dyDescent="0.25">
      <c r="A31" s="92" t="s">
        <v>29</v>
      </c>
      <c r="B31" s="75"/>
      <c r="C31" s="75"/>
      <c r="D31" s="75"/>
      <c r="E31" s="75"/>
      <c r="F31" s="93"/>
      <c r="G31" s="75"/>
      <c r="H31" s="94"/>
      <c r="I31" s="94">
        <f>SUM(I28:I30)</f>
        <v>355.15289678156671</v>
      </c>
      <c r="J31" s="75"/>
      <c r="K31" s="75"/>
      <c r="L31" s="79"/>
      <c r="M31" s="104">
        <f>SUM(M28:M30)</f>
        <v>39.256061690666868</v>
      </c>
      <c r="N31" s="105">
        <f>I31+M31</f>
        <v>394.40895847223356</v>
      </c>
      <c r="O31" s="9"/>
    </row>
    <row r="32" spans="1:15" s="5" customFormat="1" ht="17.25" x14ac:dyDescent="0.25">
      <c r="A32" s="26" t="s">
        <v>77</v>
      </c>
      <c r="B32" s="35" t="s">
        <v>50</v>
      </c>
      <c r="C32" s="26" t="s">
        <v>49</v>
      </c>
      <c r="D32" s="25" t="s">
        <v>88</v>
      </c>
      <c r="E32" s="25" t="s">
        <v>70</v>
      </c>
      <c r="F32" s="37">
        <v>40</v>
      </c>
      <c r="G32" s="38">
        <v>7</v>
      </c>
      <c r="H32" s="30">
        <f>G32*F32</f>
        <v>280</v>
      </c>
      <c r="I32" s="114">
        <f>F32*(1.04)^8+F32*(1.04)^7+F32*(1.04)^6+F32*(1.04)^5+F32*(1.04)^4+F32*(1.04)^3+F32*(1.04)^2</f>
        <v>341.71181242148464</v>
      </c>
      <c r="J32" s="43" t="s">
        <v>154</v>
      </c>
      <c r="K32" s="35">
        <f>(0.25/600+0.25/600)</f>
        <v>8.3333333333333339E-4</v>
      </c>
      <c r="L32" s="65">
        <v>5.5454545454545459</v>
      </c>
      <c r="M32" s="119">
        <f>L32*(1.04)^8+L32*(1.04)^7+L32*(1.04)^6+L32*(1.04)^5+L32*(1.04)^4+L32*(1.04)^3+L32*(1.04)^2</f>
        <v>47.373683085705821</v>
      </c>
      <c r="N32" s="10"/>
    </row>
    <row r="33" spans="1:15" s="5" customFormat="1" x14ac:dyDescent="0.25">
      <c r="A33" s="26"/>
      <c r="B33" s="25" t="s">
        <v>58</v>
      </c>
      <c r="C33" s="26" t="s">
        <v>60</v>
      </c>
      <c r="D33" s="25" t="s">
        <v>62</v>
      </c>
      <c r="E33" s="26"/>
      <c r="F33" s="39">
        <v>3.8</v>
      </c>
      <c r="G33" s="40">
        <v>7</v>
      </c>
      <c r="H33" s="30">
        <f>G33*F33</f>
        <v>26.599999999999998</v>
      </c>
      <c r="I33" s="28">
        <f t="shared" ref="I33:I34" si="8">F33*(1.04)^8+F33*(1.04)^7+F33*(1.04)^6+F33*(1.04)^5+F33*(1.04)^4+F33*(1.04)^3+F33*(1.04)^2</f>
        <v>32.462622180041038</v>
      </c>
      <c r="J33" s="29" t="s">
        <v>154</v>
      </c>
      <c r="K33" s="25">
        <f>(1/24000+1/22000)</f>
        <v>8.7121212121212124E-5</v>
      </c>
      <c r="L33" s="64">
        <v>0.67045454545454541</v>
      </c>
      <c r="M33" s="119">
        <f t="shared" ref="M33:M34" si="9">L33*(1.04)^8+L33*(1.04)^7+L33*(1.04)^6+L33*(1.04)^5+L33*(1.04)^4+L33*(1.04)^3+L33*(1.04)^2</f>
        <v>5.7275559468373842</v>
      </c>
      <c r="N33" s="10"/>
    </row>
    <row r="34" spans="1:15" s="5" customFormat="1" x14ac:dyDescent="0.25">
      <c r="A34" s="26"/>
      <c r="B34" s="36" t="s">
        <v>59</v>
      </c>
      <c r="C34" s="26" t="s">
        <v>61</v>
      </c>
      <c r="D34" s="36" t="s">
        <v>63</v>
      </c>
      <c r="E34" s="26"/>
      <c r="F34" s="41">
        <v>3.8</v>
      </c>
      <c r="G34" s="42">
        <v>7</v>
      </c>
      <c r="H34" s="30">
        <f>G34*F34</f>
        <v>26.599999999999998</v>
      </c>
      <c r="I34" s="115">
        <f t="shared" si="8"/>
        <v>32.462622180041038</v>
      </c>
      <c r="J34" s="44" t="s">
        <v>154</v>
      </c>
      <c r="K34" s="36">
        <f>(0.25/600+0.25/600)</f>
        <v>8.3333333333333339E-4</v>
      </c>
      <c r="L34" s="66">
        <v>0.67045454545454541</v>
      </c>
      <c r="M34" s="119">
        <f t="shared" si="9"/>
        <v>5.7275559468373842</v>
      </c>
      <c r="N34" s="10"/>
    </row>
    <row r="35" spans="1:15" s="5" customFormat="1" x14ac:dyDescent="0.25">
      <c r="A35" s="92" t="s">
        <v>29</v>
      </c>
      <c r="B35" s="75"/>
      <c r="C35" s="75"/>
      <c r="D35" s="75"/>
      <c r="E35" s="75"/>
      <c r="F35" s="93"/>
      <c r="G35" s="75"/>
      <c r="H35" s="94"/>
      <c r="I35" s="94">
        <f>SUM(I32:I34)</f>
        <v>406.63705678156668</v>
      </c>
      <c r="J35" s="75"/>
      <c r="K35" s="75"/>
      <c r="L35" s="79"/>
      <c r="M35" s="104">
        <f>SUM(M32:M34)</f>
        <v>58.828794979380589</v>
      </c>
      <c r="N35" s="105">
        <f>I35+M35</f>
        <v>465.46585176094726</v>
      </c>
      <c r="O35" s="9"/>
    </row>
    <row r="36" spans="1:15" s="5" customFormat="1" x14ac:dyDescent="0.25">
      <c r="A36" s="34"/>
      <c r="B36" s="26"/>
      <c r="C36" s="26"/>
      <c r="D36" s="26"/>
      <c r="E36" s="26"/>
      <c r="F36" s="27"/>
      <c r="G36" s="26"/>
      <c r="H36" s="46"/>
      <c r="I36" s="46"/>
      <c r="J36" s="26"/>
      <c r="K36" s="26"/>
      <c r="L36" s="67"/>
      <c r="M36" s="69"/>
    </row>
    <row r="37" spans="1:15" s="5" customFormat="1" ht="33.75" x14ac:dyDescent="0.5">
      <c r="A37" s="45" t="s">
        <v>78</v>
      </c>
      <c r="B37" s="13"/>
      <c r="C37"/>
      <c r="D37"/>
      <c r="E37"/>
      <c r="F37"/>
      <c r="G37"/>
      <c r="H37"/>
      <c r="I37"/>
      <c r="J37"/>
      <c r="K37"/>
      <c r="L37" s="62"/>
      <c r="M37" s="68"/>
    </row>
    <row r="38" spans="1:15" s="5" customFormat="1" x14ac:dyDescent="0.25">
      <c r="A38"/>
      <c r="B38"/>
      <c r="C38"/>
      <c r="D38"/>
      <c r="E38"/>
      <c r="F38"/>
      <c r="G38"/>
      <c r="H38" s="1"/>
      <c r="I38" s="71"/>
      <c r="J38"/>
      <c r="K38" s="60"/>
      <c r="L38" s="86"/>
      <c r="M38" s="68"/>
    </row>
    <row r="39" spans="1:15" s="5" customFormat="1" x14ac:dyDescent="0.25">
      <c r="A39" s="14" t="s">
        <v>71</v>
      </c>
      <c r="B39" s="18" t="s">
        <v>35</v>
      </c>
      <c r="C39" s="15" t="s">
        <v>7</v>
      </c>
      <c r="D39" s="16" t="s">
        <v>9</v>
      </c>
      <c r="E39" s="15" t="s">
        <v>15</v>
      </c>
      <c r="F39" s="16" t="s">
        <v>11</v>
      </c>
      <c r="G39" s="16" t="s">
        <v>12</v>
      </c>
      <c r="H39" s="15" t="s">
        <v>13</v>
      </c>
      <c r="I39" s="16" t="s">
        <v>94</v>
      </c>
      <c r="J39" s="16" t="s">
        <v>14</v>
      </c>
      <c r="K39" s="16" t="s">
        <v>10</v>
      </c>
      <c r="L39" s="63" t="s">
        <v>8</v>
      </c>
      <c r="M39" s="16" t="s">
        <v>95</v>
      </c>
      <c r="N39" s="22" t="s">
        <v>96</v>
      </c>
    </row>
    <row r="40" spans="1:15" s="5" customFormat="1" x14ac:dyDescent="0.25">
      <c r="A40" s="29" t="s">
        <v>51</v>
      </c>
      <c r="B40" s="25" t="s">
        <v>50</v>
      </c>
      <c r="C40" s="26" t="s">
        <v>49</v>
      </c>
      <c r="D40" s="25" t="s">
        <v>83</v>
      </c>
      <c r="E40" s="25" t="s">
        <v>51</v>
      </c>
      <c r="F40" s="27">
        <v>40</v>
      </c>
      <c r="G40" s="26">
        <v>1</v>
      </c>
      <c r="H40" s="28">
        <f>G40*F40</f>
        <v>40</v>
      </c>
      <c r="I40" s="30">
        <f>F40*(1.04)^8</f>
        <v>54.74276201621096</v>
      </c>
      <c r="J40" s="35" t="s">
        <v>154</v>
      </c>
      <c r="K40" s="35">
        <f>(0.25/600+0.25/600)</f>
        <v>8.3333333333333339E-4</v>
      </c>
      <c r="L40" s="109">
        <f>'Personnel costs'!$E$5*K40</f>
        <v>2.5</v>
      </c>
      <c r="M40" s="121">
        <f>L40*(1.04)^8</f>
        <v>3.421422626013185</v>
      </c>
      <c r="N40" s="24"/>
    </row>
    <row r="41" spans="1:15" s="5" customFormat="1" x14ac:dyDescent="0.25">
      <c r="A41" s="23"/>
      <c r="B41" s="25" t="s">
        <v>58</v>
      </c>
      <c r="C41" s="26" t="s">
        <v>60</v>
      </c>
      <c r="D41" s="25" t="s">
        <v>62</v>
      </c>
      <c r="E41" s="25"/>
      <c r="F41" s="27">
        <v>3.8</v>
      </c>
      <c r="G41" s="26">
        <v>1</v>
      </c>
      <c r="H41" s="28">
        <f t="shared" ref="H41:H42" si="10">G41*F41</f>
        <v>3.8</v>
      </c>
      <c r="I41" s="30">
        <f t="shared" ref="I41:I42" si="11">F41*(1.04)^8</f>
        <v>5.200562391540041</v>
      </c>
      <c r="J41" s="25" t="s">
        <v>154</v>
      </c>
      <c r="K41" s="25">
        <f>(1/24000+1/22000)</f>
        <v>8.7121212121212124E-5</v>
      </c>
      <c r="L41" s="109">
        <f>'Personnel costs'!$E$5*K41</f>
        <v>0.26136363636363635</v>
      </c>
      <c r="M41" s="120">
        <f t="shared" ref="M41:M42" si="12">L41*(1.04)^8</f>
        <v>0.35769418362865119</v>
      </c>
      <c r="N41" s="10"/>
    </row>
    <row r="42" spans="1:15" s="5" customFormat="1" x14ac:dyDescent="0.25">
      <c r="A42" s="23"/>
      <c r="B42" s="25" t="s">
        <v>59</v>
      </c>
      <c r="C42" s="26" t="s">
        <v>61</v>
      </c>
      <c r="D42" s="25" t="s">
        <v>93</v>
      </c>
      <c r="E42" s="25"/>
      <c r="F42" s="27">
        <v>3.8</v>
      </c>
      <c r="G42" s="26">
        <v>1</v>
      </c>
      <c r="H42" s="28">
        <f t="shared" si="10"/>
        <v>3.8</v>
      </c>
      <c r="I42" s="30">
        <f t="shared" si="11"/>
        <v>5.200562391540041</v>
      </c>
      <c r="J42" s="36" t="s">
        <v>154</v>
      </c>
      <c r="K42" s="36">
        <f>(0.25/600+0.25/600)</f>
        <v>8.3333333333333339E-4</v>
      </c>
      <c r="L42" s="109">
        <f>'Personnel costs'!$E$5*K42</f>
        <v>2.5</v>
      </c>
      <c r="M42" s="122">
        <f t="shared" si="12"/>
        <v>3.421422626013185</v>
      </c>
      <c r="N42" s="10"/>
    </row>
    <row r="43" spans="1:15" s="5" customFormat="1" x14ac:dyDescent="0.25">
      <c r="A43" s="73" t="s">
        <v>29</v>
      </c>
      <c r="B43" s="74"/>
      <c r="C43" s="75"/>
      <c r="D43" s="75"/>
      <c r="E43" s="75"/>
      <c r="F43" s="75"/>
      <c r="G43" s="75"/>
      <c r="H43" s="77"/>
      <c r="I43" s="77">
        <f>SUM(I40:I42)</f>
        <v>65.143886799291039</v>
      </c>
      <c r="J43" s="78"/>
      <c r="K43" s="78"/>
      <c r="L43" s="79"/>
      <c r="M43" s="113">
        <f>SUM(M40:M42)</f>
        <v>7.2005394356550214</v>
      </c>
      <c r="N43" s="102">
        <f>I43+M43</f>
        <v>72.344426234946056</v>
      </c>
    </row>
    <row r="44" spans="1:15" s="5" customFormat="1" x14ac:dyDescent="0.25">
      <c r="A44" s="29" t="s">
        <v>65</v>
      </c>
      <c r="B44" s="25" t="s">
        <v>50</v>
      </c>
      <c r="C44" s="26" t="s">
        <v>49</v>
      </c>
      <c r="D44" s="25" t="s">
        <v>101</v>
      </c>
      <c r="E44" s="25" t="s">
        <v>65</v>
      </c>
      <c r="F44" s="27">
        <v>40</v>
      </c>
      <c r="G44" s="26">
        <v>2</v>
      </c>
      <c r="H44" s="28">
        <f>G44*F44</f>
        <v>80</v>
      </c>
      <c r="I44" s="30">
        <f>F44*(1.04)^8+F44*(1.04)^7</f>
        <v>107.38003318564458</v>
      </c>
      <c r="J44" s="35" t="s">
        <v>154</v>
      </c>
      <c r="K44" s="35">
        <f>(0.25/600+0.25/600)</f>
        <v>8.3333333333333339E-4</v>
      </c>
      <c r="L44" s="109">
        <f>'Personnel costs'!$E$5*K44</f>
        <v>2.5</v>
      </c>
      <c r="M44" s="120">
        <f>L44*(1.04)^8+L44*(1.04)^7</f>
        <v>6.7112520741027861</v>
      </c>
      <c r="N44" s="24"/>
    </row>
    <row r="45" spans="1:15" s="5" customFormat="1" x14ac:dyDescent="0.25">
      <c r="A45" s="23"/>
      <c r="B45" s="25" t="s">
        <v>58</v>
      </c>
      <c r="C45" s="26" t="s">
        <v>60</v>
      </c>
      <c r="D45" s="25" t="s">
        <v>62</v>
      </c>
      <c r="E45" s="25"/>
      <c r="F45" s="27">
        <v>3.8</v>
      </c>
      <c r="G45" s="26">
        <v>2</v>
      </c>
      <c r="H45" s="28">
        <f t="shared" ref="H45:H46" si="13">G45*F45</f>
        <v>7.6</v>
      </c>
      <c r="I45" s="30">
        <f>F45*(1.04)^8+F45*(1.04)^7</f>
        <v>10.201103152636234</v>
      </c>
      <c r="J45" s="25" t="s">
        <v>154</v>
      </c>
      <c r="K45" s="25">
        <f>(1/24000+1/22000)</f>
        <v>8.7121212121212124E-5</v>
      </c>
      <c r="L45" s="109">
        <f>'Personnel costs'!$E$5*K45</f>
        <v>0.26136363636363635</v>
      </c>
      <c r="M45" s="120">
        <f>L45*(1.04)^8+L45*(1.04)^7</f>
        <v>0.70163089865620032</v>
      </c>
      <c r="N45" s="10"/>
    </row>
    <row r="46" spans="1:15" s="5" customFormat="1" x14ac:dyDescent="0.25">
      <c r="A46" s="23"/>
      <c r="B46" s="25" t="s">
        <v>59</v>
      </c>
      <c r="C46" s="26" t="s">
        <v>61</v>
      </c>
      <c r="D46" s="25" t="s">
        <v>93</v>
      </c>
      <c r="E46" s="25"/>
      <c r="F46" s="27">
        <v>3.8</v>
      </c>
      <c r="G46" s="26">
        <v>2</v>
      </c>
      <c r="H46" s="28">
        <f t="shared" si="13"/>
        <v>7.6</v>
      </c>
      <c r="I46" s="30">
        <f>F46*(1.04)^8+F46*(1.04)^7</f>
        <v>10.201103152636234</v>
      </c>
      <c r="J46" s="36" t="s">
        <v>154</v>
      </c>
      <c r="K46" s="36">
        <f>(0.25/600+0.25/600)</f>
        <v>8.3333333333333339E-4</v>
      </c>
      <c r="L46" s="109">
        <f>'Personnel costs'!$E$5*K46</f>
        <v>2.5</v>
      </c>
      <c r="M46" s="120">
        <f>L46*(1.04)^8+L46*(1.04)^7</f>
        <v>6.7112520741027861</v>
      </c>
      <c r="N46" s="11"/>
    </row>
    <row r="47" spans="1:15" s="5" customFormat="1" x14ac:dyDescent="0.25">
      <c r="A47" s="73" t="s">
        <v>29</v>
      </c>
      <c r="B47" s="74"/>
      <c r="C47" s="75"/>
      <c r="D47" s="75"/>
      <c r="E47" s="75"/>
      <c r="F47" s="75"/>
      <c r="G47" s="75"/>
      <c r="H47" s="77"/>
      <c r="I47" s="77">
        <f>SUM(I44:I46)</f>
        <v>127.78223949091705</v>
      </c>
      <c r="J47" s="78"/>
      <c r="K47" s="78"/>
      <c r="L47" s="79"/>
      <c r="M47" s="116">
        <f>SUM(M44:M46)</f>
        <v>14.124135046861772</v>
      </c>
      <c r="N47" s="105">
        <f>I47+M47</f>
        <v>141.90637453777882</v>
      </c>
    </row>
    <row r="48" spans="1:15" s="5" customFormat="1" x14ac:dyDescent="0.25">
      <c r="A48" s="29" t="s">
        <v>72</v>
      </c>
      <c r="B48" s="25" t="s">
        <v>50</v>
      </c>
      <c r="C48" s="26" t="s">
        <v>49</v>
      </c>
      <c r="D48" s="25" t="s">
        <v>102</v>
      </c>
      <c r="E48" s="25" t="s">
        <v>97</v>
      </c>
      <c r="F48" s="27">
        <v>40</v>
      </c>
      <c r="G48" s="26">
        <v>3</v>
      </c>
      <c r="H48" s="28">
        <f>G48*F48</f>
        <v>120</v>
      </c>
      <c r="I48" s="30">
        <f>F48*(1.04)^8+F48*(1.04)^7+F48*(1.04)^6</f>
        <v>157.99279392548459</v>
      </c>
      <c r="J48" s="35" t="s">
        <v>154</v>
      </c>
      <c r="K48" s="35">
        <f>(0.25/600+0.25/600)</f>
        <v>8.3333333333333339E-4</v>
      </c>
      <c r="L48" s="109">
        <f>'Personnel costs'!$E$5*K48</f>
        <v>2.5</v>
      </c>
      <c r="M48" s="120">
        <f>L48*(1.04)^8+L48*(1.04)^7+L48*(1.04)^6</f>
        <v>9.8745496203427869</v>
      </c>
      <c r="N48" s="24"/>
    </row>
    <row r="49" spans="1:14" s="5" customFormat="1" x14ac:dyDescent="0.25">
      <c r="A49" s="23"/>
      <c r="B49" s="25" t="s">
        <v>58</v>
      </c>
      <c r="C49" s="26" t="s">
        <v>60</v>
      </c>
      <c r="D49" s="25" t="s">
        <v>62</v>
      </c>
      <c r="E49" s="25"/>
      <c r="F49" s="27">
        <v>3.8</v>
      </c>
      <c r="G49" s="26">
        <v>3</v>
      </c>
      <c r="H49" s="28">
        <f>G49*F49</f>
        <v>11.399999999999999</v>
      </c>
      <c r="I49" s="30">
        <f t="shared" ref="I49:I50" si="14">F49*(1.04)^8+F49*(1.04)^7+F49*(1.04)^6</f>
        <v>15.009315422921034</v>
      </c>
      <c r="J49" s="25" t="s">
        <v>154</v>
      </c>
      <c r="K49" s="25">
        <f>(1/24000+1/22000)</f>
        <v>8.7121212121212124E-5</v>
      </c>
      <c r="L49" s="109">
        <f>'Personnel costs'!$E$5*K49</f>
        <v>0.26136363636363635</v>
      </c>
      <c r="M49" s="120">
        <f>L49*(1.04)^8+L49*(1.04)^7+L49*(1.04)^6</f>
        <v>1.0323392784903822</v>
      </c>
      <c r="N49" s="10"/>
    </row>
    <row r="50" spans="1:14" s="5" customFormat="1" x14ac:dyDescent="0.25">
      <c r="A50" s="23"/>
      <c r="B50" s="25" t="s">
        <v>59</v>
      </c>
      <c r="C50" s="26" t="s">
        <v>61</v>
      </c>
      <c r="D50" s="25" t="s">
        <v>93</v>
      </c>
      <c r="E50" s="25"/>
      <c r="F50" s="27">
        <v>3.8</v>
      </c>
      <c r="G50" s="26">
        <v>3</v>
      </c>
      <c r="H50" s="28">
        <f>G50*F50</f>
        <v>11.399999999999999</v>
      </c>
      <c r="I50" s="30">
        <f t="shared" si="14"/>
        <v>15.009315422921034</v>
      </c>
      <c r="J50" s="36" t="s">
        <v>154</v>
      </c>
      <c r="K50" s="36">
        <f>(0.25/600+0.25/600)</f>
        <v>8.3333333333333339E-4</v>
      </c>
      <c r="L50" s="109">
        <f>'Personnel costs'!$E$5*K50</f>
        <v>2.5</v>
      </c>
      <c r="M50" s="120">
        <f>L50*(1.04)^8+L50*(1.04)^7+L50*(1.04)^6</f>
        <v>9.8745496203427869</v>
      </c>
      <c r="N50" s="11"/>
    </row>
    <row r="51" spans="1:14" s="5" customFormat="1" x14ac:dyDescent="0.25">
      <c r="A51" s="73" t="s">
        <v>29</v>
      </c>
      <c r="B51" s="74"/>
      <c r="C51" s="75"/>
      <c r="D51" s="75"/>
      <c r="E51" s="75"/>
      <c r="F51" s="75"/>
      <c r="G51" s="75"/>
      <c r="H51" s="77"/>
      <c r="I51" s="77">
        <f>SUM(I48:I50)</f>
        <v>188.01142477132663</v>
      </c>
      <c r="J51" s="78"/>
      <c r="K51" s="78"/>
      <c r="L51" s="117"/>
      <c r="M51" s="118">
        <f>SUM(M48:M50)</f>
        <v>20.781438519175957</v>
      </c>
      <c r="N51" s="105">
        <f>I51+M51</f>
        <v>208.79286329050259</v>
      </c>
    </row>
    <row r="52" spans="1:14" s="5" customFormat="1" x14ac:dyDescent="0.25">
      <c r="A52" s="26" t="s">
        <v>74</v>
      </c>
      <c r="B52" s="35" t="s">
        <v>50</v>
      </c>
      <c r="C52" s="26" t="s">
        <v>49</v>
      </c>
      <c r="D52" s="35" t="s">
        <v>103</v>
      </c>
      <c r="E52" s="25" t="s">
        <v>67</v>
      </c>
      <c r="F52" s="37">
        <v>40</v>
      </c>
      <c r="G52" s="38">
        <v>4</v>
      </c>
      <c r="H52" s="30">
        <f>G52*F52</f>
        <v>160</v>
      </c>
      <c r="I52" s="30">
        <f>F52*(1.04)^8+F52*(1.04)^7+F52*(1.04)^6+F52*(1.04)^5</f>
        <v>206.65891002148459</v>
      </c>
      <c r="J52" s="43" t="s">
        <v>154</v>
      </c>
      <c r="K52" s="35">
        <f>(0.25/600+0.25/600)</f>
        <v>8.3333333333333339E-4</v>
      </c>
      <c r="L52" s="110">
        <f>'Personnel costs'!$E$5*K52</f>
        <v>2.5</v>
      </c>
      <c r="M52" s="120">
        <f>L52*(1.04)^8+L52*(1.04)^7+L52*(1.04)^6+L52*(1.04)^5</f>
        <v>12.916181876342787</v>
      </c>
      <c r="N52" s="24"/>
    </row>
    <row r="53" spans="1:14" s="5" customFormat="1" x14ac:dyDescent="0.25">
      <c r="A53" s="26"/>
      <c r="B53" s="25" t="s">
        <v>58</v>
      </c>
      <c r="C53" s="26" t="s">
        <v>60</v>
      </c>
      <c r="D53" s="25" t="s">
        <v>62</v>
      </c>
      <c r="E53" s="26"/>
      <c r="F53" s="39">
        <v>3.8</v>
      </c>
      <c r="G53" s="40">
        <v>4</v>
      </c>
      <c r="H53" s="30">
        <f>G53*F53</f>
        <v>15.2</v>
      </c>
      <c r="I53" s="30">
        <f t="shared" ref="I53:I54" si="15">F53*(1.04)^8+F53*(1.04)^7+F53*(1.04)^6+F53*(1.04)^5</f>
        <v>19.632596452041035</v>
      </c>
      <c r="J53" s="29" t="s">
        <v>154</v>
      </c>
      <c r="K53" s="25">
        <f>(1/24000+1/22000)</f>
        <v>8.7121212121212124E-5</v>
      </c>
      <c r="L53" s="109">
        <f>'Personnel costs'!$E$5*K53</f>
        <v>0.26136363636363635</v>
      </c>
      <c r="M53" s="120">
        <f>L53*(1.04)^8+L53*(1.04)^7+L53*(1.04)^6+L53*(1.04)^5</f>
        <v>1.3503281052540186</v>
      </c>
      <c r="N53" s="10"/>
    </row>
    <row r="54" spans="1:14" s="5" customFormat="1" x14ac:dyDescent="0.25">
      <c r="A54" s="26"/>
      <c r="B54" s="36" t="s">
        <v>59</v>
      </c>
      <c r="C54" s="26" t="s">
        <v>61</v>
      </c>
      <c r="D54" s="36" t="s">
        <v>93</v>
      </c>
      <c r="E54" s="26"/>
      <c r="F54" s="41">
        <v>3.8</v>
      </c>
      <c r="G54" s="42">
        <v>4</v>
      </c>
      <c r="H54" s="30">
        <f>G54*F54</f>
        <v>15.2</v>
      </c>
      <c r="I54" s="30">
        <f t="shared" si="15"/>
        <v>19.632596452041035</v>
      </c>
      <c r="J54" s="44" t="s">
        <v>154</v>
      </c>
      <c r="K54" s="36">
        <f>(0.25/600+0.25/600)</f>
        <v>8.3333333333333339E-4</v>
      </c>
      <c r="L54" s="111">
        <f>'Personnel costs'!$E$5*K54</f>
        <v>2.5</v>
      </c>
      <c r="M54" s="120">
        <f>L54*(1.04)^8+L54*(1.04)^7+L54*(1.04)^6+L54*(1.04)^5</f>
        <v>12.916181876342787</v>
      </c>
      <c r="N54" s="11"/>
    </row>
    <row r="55" spans="1:14" s="5" customFormat="1" x14ac:dyDescent="0.25">
      <c r="A55" s="92" t="s">
        <v>29</v>
      </c>
      <c r="B55" s="75"/>
      <c r="C55" s="75"/>
      <c r="D55" s="75"/>
      <c r="E55" s="75"/>
      <c r="F55" s="93"/>
      <c r="G55" s="75"/>
      <c r="H55" s="94"/>
      <c r="I55" s="94">
        <f>SUM(I52:I54)</f>
        <v>245.92410292556667</v>
      </c>
      <c r="J55" s="75"/>
      <c r="K55" s="75"/>
      <c r="L55" s="79"/>
      <c r="M55" s="118">
        <f>SUM(M52:M54)</f>
        <v>27.182691857939592</v>
      </c>
      <c r="N55" s="105">
        <f>I55+M55</f>
        <v>273.10679478350625</v>
      </c>
    </row>
    <row r="56" spans="1:14" s="5" customFormat="1" x14ac:dyDescent="0.25">
      <c r="A56" s="26" t="s">
        <v>68</v>
      </c>
      <c r="B56" s="35" t="s">
        <v>50</v>
      </c>
      <c r="C56" s="26" t="s">
        <v>49</v>
      </c>
      <c r="D56" s="35" t="s">
        <v>104</v>
      </c>
      <c r="E56" s="25" t="s">
        <v>68</v>
      </c>
      <c r="F56" s="37">
        <v>40</v>
      </c>
      <c r="G56" s="38">
        <v>5</v>
      </c>
      <c r="H56" s="30">
        <f>G56*F56</f>
        <v>200</v>
      </c>
      <c r="I56" s="30">
        <f>F56*(1.04)^8+F56*(1.04)^7+F56*(1.04)^6+F56*(1.04)^5+F56*(1.04)^4</f>
        <v>253.45325242148459</v>
      </c>
      <c r="J56" s="43" t="s">
        <v>154</v>
      </c>
      <c r="K56" s="35">
        <f>(0.25/600+0.25/600)</f>
        <v>8.3333333333333339E-4</v>
      </c>
      <c r="L56" s="110">
        <f>'Personnel costs'!$E$5*K56</f>
        <v>2.5</v>
      </c>
      <c r="M56" s="120">
        <f>L56*(1.04)^8+L56*(1.04)^7+L56*(1.04)^6+L56*(1.04)^5+L56*(1.04)^4</f>
        <v>15.840828276342787</v>
      </c>
      <c r="N56" s="24"/>
    </row>
    <row r="57" spans="1:14" s="5" customFormat="1" x14ac:dyDescent="0.25">
      <c r="A57" s="26"/>
      <c r="B57" s="25" t="s">
        <v>58</v>
      </c>
      <c r="C57" s="26" t="s">
        <v>60</v>
      </c>
      <c r="D57" s="25" t="s">
        <v>62</v>
      </c>
      <c r="E57" s="26"/>
      <c r="F57" s="39">
        <v>3.8</v>
      </c>
      <c r="G57" s="40">
        <v>5</v>
      </c>
      <c r="H57" s="30">
        <f>G57*F57</f>
        <v>19</v>
      </c>
      <c r="I57" s="30">
        <f>F57*(1.04)^8+F57*(1.04)^7+F57*(1.04)^6+F57*(1.04)^5+F57*(1.04)^4</f>
        <v>24.078058980041035</v>
      </c>
      <c r="J57" s="29" t="s">
        <v>154</v>
      </c>
      <c r="K57" s="25">
        <f>(1/24000+1/22000)</f>
        <v>8.7121212121212124E-5</v>
      </c>
      <c r="L57" s="109">
        <f>'Personnel costs'!$E$5*K57</f>
        <v>0.26136363636363635</v>
      </c>
      <c r="M57" s="120">
        <f t="shared" ref="M57:M58" si="16">L57*(1.04)^8+L57*(1.04)^7+L57*(1.04)^6+L57*(1.04)^5+L57*(1.04)^4</f>
        <v>1.6560865925267458</v>
      </c>
      <c r="N57" s="10"/>
    </row>
    <row r="58" spans="1:14" s="5" customFormat="1" x14ac:dyDescent="0.25">
      <c r="A58" s="26"/>
      <c r="B58" s="36" t="s">
        <v>59</v>
      </c>
      <c r="C58" s="26" t="s">
        <v>61</v>
      </c>
      <c r="D58" s="36" t="s">
        <v>93</v>
      </c>
      <c r="E58" s="26"/>
      <c r="F58" s="41">
        <v>3.8</v>
      </c>
      <c r="G58" s="42">
        <v>5</v>
      </c>
      <c r="H58" s="30">
        <f>G58*F58</f>
        <v>19</v>
      </c>
      <c r="I58" s="30">
        <f>F58*(1.04)^8+F58*(1.04)^7+F58*(1.04)^6+F58*(1.04)^5+F58*(1.04)^4</f>
        <v>24.078058980041035</v>
      </c>
      <c r="J58" s="44" t="s">
        <v>154</v>
      </c>
      <c r="K58" s="36">
        <f>(0.25/600+0.25/600)</f>
        <v>8.3333333333333339E-4</v>
      </c>
      <c r="L58" s="111">
        <f>'Personnel costs'!$E$5*K58</f>
        <v>2.5</v>
      </c>
      <c r="M58" s="120">
        <f t="shared" si="16"/>
        <v>15.840828276342787</v>
      </c>
      <c r="N58" s="11"/>
    </row>
    <row r="59" spans="1:14" s="5" customFormat="1" x14ac:dyDescent="0.25">
      <c r="A59" s="92" t="s">
        <v>29</v>
      </c>
      <c r="B59" s="75"/>
      <c r="C59" s="75"/>
      <c r="D59" s="75"/>
      <c r="E59" s="75"/>
      <c r="F59" s="93"/>
      <c r="G59" s="75"/>
      <c r="H59" s="94"/>
      <c r="I59" s="94">
        <f>SUM(I56:I58)</f>
        <v>301.60937038156663</v>
      </c>
      <c r="J59" s="75"/>
      <c r="K59" s="75"/>
      <c r="L59" s="79"/>
      <c r="M59" s="118">
        <f>SUM(M56:M58)</f>
        <v>33.337743145212315</v>
      </c>
      <c r="N59" s="105">
        <f>I59+M59</f>
        <v>334.94711352677894</v>
      </c>
    </row>
    <row r="60" spans="1:14" s="5" customFormat="1" x14ac:dyDescent="0.25">
      <c r="A60" s="26" t="s">
        <v>76</v>
      </c>
      <c r="B60" s="35" t="s">
        <v>50</v>
      </c>
      <c r="C60" s="26" t="s">
        <v>49</v>
      </c>
      <c r="D60" s="35" t="s">
        <v>105</v>
      </c>
      <c r="E60" s="25" t="s">
        <v>69</v>
      </c>
      <c r="F60" s="37">
        <v>40</v>
      </c>
      <c r="G60" s="38">
        <v>6</v>
      </c>
      <c r="H60" s="30">
        <f>G60*F60</f>
        <v>240</v>
      </c>
      <c r="I60" s="30">
        <f>F60*(1.04)^8+F60*(1.04)^7+F60*(1.04)^6+F60*(1.04)^5+F60*(1.04)^4+F60*(1.04)^3</f>
        <v>298.44781242148463</v>
      </c>
      <c r="J60" s="43" t="s">
        <v>154</v>
      </c>
      <c r="K60" s="35">
        <f>(0.25/600+0.25/600)</f>
        <v>8.3333333333333339E-4</v>
      </c>
      <c r="L60" s="110">
        <f>'Personnel costs'!$E$5*K60</f>
        <v>2.5</v>
      </c>
      <c r="M60" s="120">
        <f>L60*(1.04)^8+L60*(1.04)^7+L60*(1.04)^6+L60*(1.04)^5+L60*(1.04)^4+L60*(1.04)^3</f>
        <v>18.652988276342789</v>
      </c>
      <c r="N60" s="24"/>
    </row>
    <row r="61" spans="1:14" s="5" customFormat="1" x14ac:dyDescent="0.25">
      <c r="A61" s="26"/>
      <c r="B61" s="25" t="s">
        <v>58</v>
      </c>
      <c r="C61" s="26" t="s">
        <v>60</v>
      </c>
      <c r="D61" s="25" t="s">
        <v>62</v>
      </c>
      <c r="E61" s="26"/>
      <c r="F61" s="39">
        <v>3.8</v>
      </c>
      <c r="G61" s="40">
        <v>6</v>
      </c>
      <c r="H61" s="30">
        <f>G61*F61</f>
        <v>22.799999999999997</v>
      </c>
      <c r="I61" s="30">
        <f>F61*(1.04)^8+F61*(1.04)^7+F61*(1.04)^6+F61*(1.04)^5+F61*(1.04)^4+F61*(1.04)^3</f>
        <v>28.352542180041034</v>
      </c>
      <c r="J61" s="29" t="s">
        <v>154</v>
      </c>
      <c r="K61" s="25">
        <f>(1/24000+1/22000)</f>
        <v>8.7121212121212124E-5</v>
      </c>
      <c r="L61" s="109">
        <f>'Personnel costs'!$E$5*K61</f>
        <v>0.26136363636363635</v>
      </c>
      <c r="M61" s="120">
        <f t="shared" ref="M61:M62" si="17">L61*(1.04)^8+L61*(1.04)^7+L61*(1.04)^6+L61*(1.04)^5+L61*(1.04)^4+L61*(1.04)^3</f>
        <v>1.9500851379812913</v>
      </c>
      <c r="N61" s="10"/>
    </row>
    <row r="62" spans="1:14" s="5" customFormat="1" x14ac:dyDescent="0.25">
      <c r="A62" s="26"/>
      <c r="B62" s="36" t="s">
        <v>59</v>
      </c>
      <c r="C62" s="26" t="s">
        <v>61</v>
      </c>
      <c r="D62" s="36" t="s">
        <v>93</v>
      </c>
      <c r="E62" s="26"/>
      <c r="F62" s="41">
        <v>3.8</v>
      </c>
      <c r="G62" s="42">
        <v>6</v>
      </c>
      <c r="H62" s="30">
        <f>G62*F62</f>
        <v>22.799999999999997</v>
      </c>
      <c r="I62" s="30">
        <f>F62*(1.04)^8+F62*(1.04)^7+F62*(1.04)^6+F62*(1.04)^5+F62*(1.04)^4+F62*(1.04)^3</f>
        <v>28.352542180041034</v>
      </c>
      <c r="J62" s="44" t="s">
        <v>154</v>
      </c>
      <c r="K62" s="36">
        <f>(0.25/600+0.25/600)</f>
        <v>8.3333333333333339E-4</v>
      </c>
      <c r="L62" s="111">
        <f>'Personnel costs'!$E$5*K62</f>
        <v>2.5</v>
      </c>
      <c r="M62" s="120">
        <f t="shared" si="17"/>
        <v>18.652988276342789</v>
      </c>
      <c r="N62" s="11"/>
    </row>
    <row r="63" spans="1:14" s="5" customFormat="1" x14ac:dyDescent="0.25">
      <c r="A63" s="92" t="s">
        <v>29</v>
      </c>
      <c r="B63" s="75"/>
      <c r="C63" s="75"/>
      <c r="D63" s="75"/>
      <c r="E63" s="75"/>
      <c r="F63" s="93"/>
      <c r="G63" s="75"/>
      <c r="H63" s="94"/>
      <c r="I63" s="94">
        <f>SUM(I60:I62)</f>
        <v>355.15289678156671</v>
      </c>
      <c r="J63" s="75"/>
      <c r="K63" s="75"/>
      <c r="L63" s="79"/>
      <c r="M63" s="118">
        <f>SUM(M60:M62)</f>
        <v>39.256061690666868</v>
      </c>
      <c r="N63" s="105">
        <f>I63+M63</f>
        <v>394.40895847223356</v>
      </c>
    </row>
    <row r="64" spans="1:14" s="5" customFormat="1" x14ac:dyDescent="0.25">
      <c r="A64" s="26" t="s">
        <v>77</v>
      </c>
      <c r="B64" s="35" t="s">
        <v>50</v>
      </c>
      <c r="C64" s="26" t="s">
        <v>49</v>
      </c>
      <c r="D64" s="35" t="s">
        <v>106</v>
      </c>
      <c r="E64" s="25" t="s">
        <v>70</v>
      </c>
      <c r="F64" s="37">
        <v>40</v>
      </c>
      <c r="G64" s="38">
        <v>7</v>
      </c>
      <c r="H64" s="30">
        <f>G64*F64</f>
        <v>280</v>
      </c>
      <c r="I64" s="30">
        <f>F64*(1.04)^8+F64*(1.04)^7+F64*(1.04)^6+F64*(1.04)^5+F64*(1.04)^4+F64*(1.04)^3+F64*(1.04)^2</f>
        <v>341.71181242148464</v>
      </c>
      <c r="J64" s="43" t="s">
        <v>154</v>
      </c>
      <c r="K64" s="35">
        <f>(0.25/600+0.25/600)</f>
        <v>8.3333333333333339E-4</v>
      </c>
      <c r="L64" s="110">
        <v>5.5454545454545459</v>
      </c>
      <c r="M64" s="120">
        <f>L64*(1.04)^8+L64*(1.04)^7+L64*(1.04)^6+L64*(1.04)^5+L64*(1.04)^4+L64*(1.04)^3+L64*(1.04)^2</f>
        <v>47.373683085705821</v>
      </c>
      <c r="N64" s="24"/>
    </row>
    <row r="65" spans="1:15" s="5" customFormat="1" x14ac:dyDescent="0.25">
      <c r="A65" s="26"/>
      <c r="B65" s="25" t="s">
        <v>58</v>
      </c>
      <c r="C65" s="26" t="s">
        <v>60</v>
      </c>
      <c r="D65" s="25" t="s">
        <v>62</v>
      </c>
      <c r="E65" s="26"/>
      <c r="F65" s="39">
        <v>3.8</v>
      </c>
      <c r="G65" s="40">
        <v>7</v>
      </c>
      <c r="H65" s="30">
        <f>G65*F65</f>
        <v>26.599999999999998</v>
      </c>
      <c r="I65" s="30">
        <f t="shared" ref="I65:I66" si="18">F65*(1.04)^8+F65*(1.04)^7+F65*(1.04)^6+F65*(1.04)^5+F65*(1.04)^4+F65*(1.04)^3+F65*(1.04)^2</f>
        <v>32.462622180041038</v>
      </c>
      <c r="J65" s="29" t="s">
        <v>154</v>
      </c>
      <c r="K65" s="25">
        <f>(1/24000+1/22000)</f>
        <v>8.7121212121212124E-5</v>
      </c>
      <c r="L65" s="109">
        <v>0.67045454545454541</v>
      </c>
      <c r="M65" s="120">
        <f t="shared" ref="M65:M66" si="19">L65*(1.04)^8+L65*(1.04)^7+L65*(1.04)^6+L65*(1.04)^5+L65*(1.04)^4+L65*(1.04)^3+L65*(1.04)^2</f>
        <v>5.7275559468373842</v>
      </c>
      <c r="N65" s="10"/>
    </row>
    <row r="66" spans="1:15" s="5" customFormat="1" x14ac:dyDescent="0.25">
      <c r="A66" s="26"/>
      <c r="B66" s="36" t="s">
        <v>59</v>
      </c>
      <c r="C66" s="26" t="s">
        <v>61</v>
      </c>
      <c r="D66" s="36" t="s">
        <v>93</v>
      </c>
      <c r="E66" s="26"/>
      <c r="F66" s="41">
        <v>3.8</v>
      </c>
      <c r="G66" s="42">
        <v>7</v>
      </c>
      <c r="H66" s="30">
        <f>G66*F66</f>
        <v>26.599999999999998</v>
      </c>
      <c r="I66" s="30">
        <f t="shared" si="18"/>
        <v>32.462622180041038</v>
      </c>
      <c r="J66" s="44" t="s">
        <v>154</v>
      </c>
      <c r="K66" s="36">
        <f>(0.25/600+0.25/600)</f>
        <v>8.3333333333333339E-4</v>
      </c>
      <c r="L66" s="111">
        <v>0.67045454545454541</v>
      </c>
      <c r="M66" s="122">
        <f t="shared" si="19"/>
        <v>5.7275559468373842</v>
      </c>
      <c r="N66" s="10"/>
    </row>
    <row r="67" spans="1:15" s="5" customFormat="1" x14ac:dyDescent="0.25">
      <c r="A67" s="92" t="s">
        <v>29</v>
      </c>
      <c r="B67" s="75"/>
      <c r="C67" s="75"/>
      <c r="D67" s="75"/>
      <c r="E67" s="75"/>
      <c r="F67" s="93"/>
      <c r="G67" s="75"/>
      <c r="H67" s="94"/>
      <c r="I67" s="94">
        <f>SUM(I64:I66)</f>
        <v>406.63705678156668</v>
      </c>
      <c r="J67" s="75"/>
      <c r="K67" s="75"/>
      <c r="L67" s="79"/>
      <c r="M67" s="108">
        <f>SUM(M64:M66)</f>
        <v>58.828794979380589</v>
      </c>
      <c r="N67" s="105">
        <f>I67+M67</f>
        <v>465.46585176094726</v>
      </c>
      <c r="O67" s="9"/>
    </row>
    <row r="68" spans="1:15" s="5" customFormat="1" x14ac:dyDescent="0.25">
      <c r="A68" s="34"/>
      <c r="B68" s="26"/>
      <c r="C68" s="26"/>
      <c r="D68" s="26"/>
      <c r="E68" s="26"/>
      <c r="F68" s="27"/>
      <c r="G68" s="26"/>
      <c r="H68" s="30"/>
      <c r="I68" s="30"/>
      <c r="J68" s="26"/>
      <c r="K68" s="26"/>
      <c r="L68" s="67"/>
      <c r="M68" s="69"/>
    </row>
    <row r="69" spans="1:15" s="5" customFormat="1" ht="33.75" x14ac:dyDescent="0.5">
      <c r="A69" s="45" t="s">
        <v>89</v>
      </c>
      <c r="B69" s="13"/>
      <c r="C69"/>
      <c r="D69"/>
      <c r="E69"/>
      <c r="F69"/>
      <c r="G69"/>
      <c r="H69"/>
      <c r="I69"/>
      <c r="J69"/>
      <c r="K69"/>
      <c r="L69" s="62"/>
      <c r="M69" s="68"/>
    </row>
    <row r="70" spans="1:15" s="5" customFormat="1" x14ac:dyDescent="0.25">
      <c r="A70"/>
      <c r="B70"/>
      <c r="C70"/>
      <c r="D70"/>
      <c r="E70"/>
      <c r="F70"/>
      <c r="G70"/>
      <c r="H70" s="1"/>
      <c r="I70" s="71"/>
      <c r="J70"/>
      <c r="K70" s="60"/>
      <c r="L70" s="86"/>
      <c r="M70" s="71"/>
    </row>
    <row r="71" spans="1:15" s="5" customFormat="1" x14ac:dyDescent="0.25">
      <c r="A71" s="14" t="s">
        <v>71</v>
      </c>
      <c r="B71" s="18" t="s">
        <v>35</v>
      </c>
      <c r="C71" s="15" t="s">
        <v>7</v>
      </c>
      <c r="D71" s="16" t="s">
        <v>9</v>
      </c>
      <c r="E71" s="15" t="s">
        <v>15</v>
      </c>
      <c r="F71" s="16" t="s">
        <v>11</v>
      </c>
      <c r="G71" s="16" t="s">
        <v>12</v>
      </c>
      <c r="H71" s="15" t="s">
        <v>13</v>
      </c>
      <c r="I71" s="16" t="s">
        <v>94</v>
      </c>
      <c r="J71" s="16" t="s">
        <v>14</v>
      </c>
      <c r="K71" s="16" t="s">
        <v>10</v>
      </c>
      <c r="L71" s="63" t="s">
        <v>8</v>
      </c>
      <c r="M71" s="16" t="s">
        <v>95</v>
      </c>
      <c r="N71" s="22" t="s">
        <v>96</v>
      </c>
    </row>
    <row r="72" spans="1:15" s="5" customFormat="1" x14ac:dyDescent="0.25">
      <c r="A72" s="29" t="s">
        <v>51</v>
      </c>
      <c r="B72" s="25" t="s">
        <v>50</v>
      </c>
      <c r="C72" s="26" t="s">
        <v>49</v>
      </c>
      <c r="D72" s="25" t="s">
        <v>83</v>
      </c>
      <c r="E72" s="25" t="s">
        <v>51</v>
      </c>
      <c r="F72" s="27">
        <v>40</v>
      </c>
      <c r="G72" s="26">
        <v>1</v>
      </c>
      <c r="H72" s="28">
        <f>G72*F72</f>
        <v>40</v>
      </c>
      <c r="I72" s="30">
        <f>F72*(1.04)^8</f>
        <v>54.74276201621096</v>
      </c>
      <c r="J72" s="35" t="s">
        <v>154</v>
      </c>
      <c r="K72" s="35">
        <f>(0.25/600+0.25/600)</f>
        <v>8.3333333333333339E-4</v>
      </c>
      <c r="L72" s="64">
        <f>'Personnel costs'!$E$5*K72</f>
        <v>2.5</v>
      </c>
      <c r="M72" s="103">
        <f>L72*(1.04)^8</f>
        <v>3.421422626013185</v>
      </c>
      <c r="N72" s="6"/>
      <c r="O72" s="9"/>
    </row>
    <row r="73" spans="1:15" s="5" customFormat="1" x14ac:dyDescent="0.25">
      <c r="A73" s="23"/>
      <c r="B73" s="25" t="s">
        <v>58</v>
      </c>
      <c r="C73" s="26" t="s">
        <v>60</v>
      </c>
      <c r="D73" s="25" t="s">
        <v>62</v>
      </c>
      <c r="E73" s="25"/>
      <c r="F73" s="27">
        <v>3.8</v>
      </c>
      <c r="G73" s="26">
        <v>1</v>
      </c>
      <c r="H73" s="28">
        <f t="shared" ref="H73:H74" si="20">G73*F73</f>
        <v>3.8</v>
      </c>
      <c r="I73" s="30">
        <f>F73*(1.04)^8</f>
        <v>5.200562391540041</v>
      </c>
      <c r="J73" s="25" t="s">
        <v>154</v>
      </c>
      <c r="K73" s="25">
        <f>(1/24000+1/22000)</f>
        <v>8.7121212121212124E-5</v>
      </c>
      <c r="L73" s="64">
        <f>'Personnel costs'!$E$5*K73</f>
        <v>0.26136363636363635</v>
      </c>
      <c r="M73" s="103">
        <f>L73*(1.04)^8</f>
        <v>0.35769418362865119</v>
      </c>
      <c r="N73" s="9"/>
      <c r="O73" s="9"/>
    </row>
    <row r="74" spans="1:15" s="5" customFormat="1" x14ac:dyDescent="0.25">
      <c r="A74" s="23"/>
      <c r="B74" s="25" t="s">
        <v>59</v>
      </c>
      <c r="C74" s="26" t="s">
        <v>61</v>
      </c>
      <c r="D74" s="25" t="s">
        <v>93</v>
      </c>
      <c r="E74" s="25"/>
      <c r="F74" s="27">
        <v>3.8</v>
      </c>
      <c r="G74" s="26">
        <v>1</v>
      </c>
      <c r="H74" s="28">
        <f t="shared" si="20"/>
        <v>3.8</v>
      </c>
      <c r="I74" s="30">
        <f>F74*(1.04)^8</f>
        <v>5.200562391540041</v>
      </c>
      <c r="J74" s="36" t="s">
        <v>154</v>
      </c>
      <c r="K74" s="36">
        <f>(0.25/600+0.25/600)</f>
        <v>8.3333333333333339E-4</v>
      </c>
      <c r="L74" s="64">
        <f>'Personnel costs'!$E$5*K74</f>
        <v>2.5</v>
      </c>
      <c r="M74" s="103">
        <f>L74*(1.04)^8</f>
        <v>3.421422626013185</v>
      </c>
      <c r="N74" s="100"/>
      <c r="O74" s="9"/>
    </row>
    <row r="75" spans="1:15" s="5" customFormat="1" x14ac:dyDescent="0.25">
      <c r="A75" s="73" t="s">
        <v>90</v>
      </c>
      <c r="B75" s="74"/>
      <c r="C75" s="75"/>
      <c r="D75" s="76"/>
      <c r="E75" s="75"/>
      <c r="F75" s="75"/>
      <c r="G75" s="75"/>
      <c r="H75" s="77"/>
      <c r="I75" s="77">
        <f>SUM(I72:I74)</f>
        <v>65.143886799291039</v>
      </c>
      <c r="J75" s="78"/>
      <c r="K75" s="78"/>
      <c r="L75" s="79"/>
      <c r="M75" s="96">
        <f>SUM(M72:M74)</f>
        <v>7.2005394356550214</v>
      </c>
      <c r="N75" s="80">
        <f>I75+M75</f>
        <v>72.344426234946056</v>
      </c>
    </row>
    <row r="76" spans="1:15" s="5" customFormat="1" x14ac:dyDescent="0.25">
      <c r="A76" s="29" t="s">
        <v>91</v>
      </c>
      <c r="B76" s="25" t="s">
        <v>50</v>
      </c>
      <c r="C76" s="26" t="s">
        <v>49</v>
      </c>
      <c r="D76" s="25" t="s">
        <v>101</v>
      </c>
      <c r="E76" s="25" t="s">
        <v>65</v>
      </c>
      <c r="F76" s="27">
        <v>40</v>
      </c>
      <c r="G76" s="26">
        <v>2</v>
      </c>
      <c r="H76" s="28">
        <f>G76*F76</f>
        <v>80</v>
      </c>
      <c r="I76" s="30">
        <f>F76*(1.04)^8+F76*(1.04)^7</f>
        <v>107.38003318564458</v>
      </c>
      <c r="J76" s="35" t="s">
        <v>154</v>
      </c>
      <c r="K76" s="35">
        <f>(0.25/600+0.25/600)</f>
        <v>8.3333333333333339E-4</v>
      </c>
      <c r="L76" s="64">
        <f>'Personnel costs'!$E$5*K76</f>
        <v>2.5</v>
      </c>
      <c r="M76" s="30">
        <f>L76*(1.04)^8+L76*(1.04)^7</f>
        <v>6.7112520741027861</v>
      </c>
      <c r="N76" s="24"/>
      <c r="O76" s="9"/>
    </row>
    <row r="77" spans="1:15" s="5" customFormat="1" x14ac:dyDescent="0.25">
      <c r="A77" s="23"/>
      <c r="B77" s="25" t="s">
        <v>58</v>
      </c>
      <c r="C77" s="26" t="s">
        <v>60</v>
      </c>
      <c r="D77" s="25" t="s">
        <v>62</v>
      </c>
      <c r="E77" s="25"/>
      <c r="F77" s="27">
        <v>3.8</v>
      </c>
      <c r="G77" s="26">
        <v>2</v>
      </c>
      <c r="H77" s="28">
        <f t="shared" ref="H77:H78" si="21">G77*F77</f>
        <v>7.6</v>
      </c>
      <c r="I77" s="30">
        <f>F77*(1.04)^8+F77*(1.04)^7</f>
        <v>10.201103152636234</v>
      </c>
      <c r="J77" s="25" t="s">
        <v>154</v>
      </c>
      <c r="K77" s="25">
        <f>(1/24000+1/22000)</f>
        <v>8.7121212121212124E-5</v>
      </c>
      <c r="L77" s="64">
        <f>'Personnel costs'!$E$5*K77</f>
        <v>0.26136363636363635</v>
      </c>
      <c r="M77" s="30">
        <f>L77*(1.04)^8+L77*(1.04)^7</f>
        <v>0.70163089865620032</v>
      </c>
      <c r="N77" s="10"/>
      <c r="O77" s="9"/>
    </row>
    <row r="78" spans="1:15" s="5" customFormat="1" x14ac:dyDescent="0.25">
      <c r="A78" s="23"/>
      <c r="B78" s="25" t="s">
        <v>59</v>
      </c>
      <c r="C78" s="26" t="s">
        <v>61</v>
      </c>
      <c r="D78" s="25" t="s">
        <v>93</v>
      </c>
      <c r="E78" s="36"/>
      <c r="F78" s="27">
        <v>3.8</v>
      </c>
      <c r="G78" s="26">
        <v>2</v>
      </c>
      <c r="H78" s="28">
        <f t="shared" si="21"/>
        <v>7.6</v>
      </c>
      <c r="I78" s="30">
        <f>F78*(1.04)^8+F78*(1.04)^7</f>
        <v>10.201103152636234</v>
      </c>
      <c r="J78" s="36" t="s">
        <v>154</v>
      </c>
      <c r="K78" s="36">
        <f>(0.25/600+0.25/600)</f>
        <v>8.3333333333333339E-4</v>
      </c>
      <c r="L78" s="64">
        <f>'Personnel costs'!$E$5*K78</f>
        <v>2.5</v>
      </c>
      <c r="M78" s="30">
        <f>L78*(1.04)^8+L78*(1.04)^7</f>
        <v>6.7112520741027861</v>
      </c>
      <c r="N78" s="11"/>
      <c r="O78" s="9"/>
    </row>
    <row r="79" spans="1:15" s="5" customFormat="1" x14ac:dyDescent="0.25">
      <c r="A79" s="73" t="s">
        <v>90</v>
      </c>
      <c r="B79" s="75"/>
      <c r="C79" s="75"/>
      <c r="D79" s="75"/>
      <c r="E79" s="81"/>
      <c r="F79" s="75"/>
      <c r="G79" s="75"/>
      <c r="H79" s="77"/>
      <c r="I79" s="77">
        <f>SUM(I76:I78)</f>
        <v>127.78223949091705</v>
      </c>
      <c r="J79" s="78"/>
      <c r="K79" s="78"/>
      <c r="L79" s="79"/>
      <c r="M79" s="96">
        <f>SUM(M76:M78)</f>
        <v>14.124135046861772</v>
      </c>
      <c r="N79" s="80">
        <f>I79+M79</f>
        <v>141.90637453777882</v>
      </c>
    </row>
    <row r="80" spans="1:15" s="5" customFormat="1" x14ac:dyDescent="0.25">
      <c r="A80" s="26" t="s">
        <v>72</v>
      </c>
      <c r="B80" s="25" t="s">
        <v>50</v>
      </c>
      <c r="C80" s="26" t="s">
        <v>49</v>
      </c>
      <c r="D80" s="25" t="s">
        <v>102</v>
      </c>
      <c r="E80" s="25" t="s">
        <v>97</v>
      </c>
      <c r="F80" s="27">
        <v>40</v>
      </c>
      <c r="G80" s="26">
        <v>3</v>
      </c>
      <c r="H80" s="28">
        <f>G80*F80</f>
        <v>120</v>
      </c>
      <c r="I80" s="30">
        <f>F80*(1.04)^8+F80*(1.04)^7+F80*(1.04)^6</f>
        <v>157.99279392548459</v>
      </c>
      <c r="J80" s="35" t="s">
        <v>154</v>
      </c>
      <c r="K80" s="35">
        <f>(0.25/600+0.25/600)</f>
        <v>8.3333333333333339E-4</v>
      </c>
      <c r="L80" s="64">
        <f>'Personnel costs'!$E$5*K80</f>
        <v>2.5</v>
      </c>
      <c r="M80" s="82">
        <f>L80*(1.04)^8+L80*(1.04)^7+L80*(1.04)^6</f>
        <v>9.8745496203427869</v>
      </c>
      <c r="N80" s="24"/>
    </row>
    <row r="81" spans="1:15" s="5" customFormat="1" x14ac:dyDescent="0.25">
      <c r="A81" s="23"/>
      <c r="B81" s="25" t="s">
        <v>58</v>
      </c>
      <c r="C81" s="26" t="s">
        <v>60</v>
      </c>
      <c r="D81" s="25" t="s">
        <v>62</v>
      </c>
      <c r="E81" s="25"/>
      <c r="F81" s="27">
        <v>3.8</v>
      </c>
      <c r="G81" s="26">
        <v>3</v>
      </c>
      <c r="H81" s="28">
        <f>G81*F81</f>
        <v>11.399999999999999</v>
      </c>
      <c r="I81" s="30">
        <f t="shared" ref="I81:I82" si="22">F81*(1.04)^8+F81*(1.04)^7+F81*(1.04)^6</f>
        <v>15.009315422921034</v>
      </c>
      <c r="J81" s="25" t="s">
        <v>154</v>
      </c>
      <c r="K81" s="25">
        <f>(1/24000+1/22000)</f>
        <v>8.7121212121212124E-5</v>
      </c>
      <c r="L81" s="64">
        <f>'Personnel costs'!$E$5*K81</f>
        <v>0.26136363636363635</v>
      </c>
      <c r="M81" s="83">
        <f>L81*(1.04)^8+L81*(1.04)^7+L81*(1.04)^6</f>
        <v>1.0323392784903822</v>
      </c>
      <c r="N81" s="10"/>
    </row>
    <row r="82" spans="1:15" s="5" customFormat="1" x14ac:dyDescent="0.25">
      <c r="A82" s="23"/>
      <c r="B82" s="25" t="s">
        <v>59</v>
      </c>
      <c r="C82" s="26" t="s">
        <v>61</v>
      </c>
      <c r="D82" s="25" t="s">
        <v>93</v>
      </c>
      <c r="E82" s="25"/>
      <c r="F82" s="27">
        <v>3.8</v>
      </c>
      <c r="G82" s="26">
        <v>3</v>
      </c>
      <c r="H82" s="28">
        <f>G82*F82</f>
        <v>11.399999999999999</v>
      </c>
      <c r="I82" s="30">
        <f t="shared" si="22"/>
        <v>15.009315422921034</v>
      </c>
      <c r="J82" s="36" t="s">
        <v>154</v>
      </c>
      <c r="K82" s="36">
        <f>(0.25/600+0.25/600)</f>
        <v>8.3333333333333339E-4</v>
      </c>
      <c r="L82" s="64">
        <f>'Personnel costs'!$E$5*K82</f>
        <v>2.5</v>
      </c>
      <c r="M82" s="84">
        <f>L82*(1.04)^8+L82*(1.04)^7+L82*(1.04)^6</f>
        <v>9.8745496203427869</v>
      </c>
      <c r="N82" s="11"/>
    </row>
    <row r="83" spans="1:15" s="5" customFormat="1" x14ac:dyDescent="0.25">
      <c r="A83" s="73" t="s">
        <v>29</v>
      </c>
      <c r="B83" s="74"/>
      <c r="C83" s="75"/>
      <c r="D83" s="76"/>
      <c r="E83" s="75"/>
      <c r="F83" s="75"/>
      <c r="G83" s="75"/>
      <c r="H83" s="77"/>
      <c r="I83" s="77">
        <f>SUM(I80:I82)</f>
        <v>188.01142477132663</v>
      </c>
      <c r="J83" s="78"/>
      <c r="K83" s="78"/>
      <c r="L83" s="85"/>
      <c r="M83" s="97">
        <f>SUM(M80:M82)</f>
        <v>20.781438519175957</v>
      </c>
      <c r="N83" s="80">
        <f>I83+M83</f>
        <v>208.79286329050259</v>
      </c>
    </row>
    <row r="84" spans="1:15" s="5" customFormat="1" x14ac:dyDescent="0.25">
      <c r="A84" s="26" t="s">
        <v>74</v>
      </c>
      <c r="B84" s="35" t="s">
        <v>50</v>
      </c>
      <c r="C84" s="26" t="s">
        <v>49</v>
      </c>
      <c r="D84" s="25" t="s">
        <v>103</v>
      </c>
      <c r="E84" s="25" t="s">
        <v>67</v>
      </c>
      <c r="F84" s="39">
        <v>40</v>
      </c>
      <c r="G84" s="40">
        <v>4</v>
      </c>
      <c r="H84" s="30">
        <f>G84*F84</f>
        <v>160</v>
      </c>
      <c r="I84" s="82">
        <f>F84*(1.04)^8+F84*(1.04)^7+F84*(1.04)^6+F84*(1.04)^5</f>
        <v>206.65891002148459</v>
      </c>
      <c r="J84" s="43" t="s">
        <v>154</v>
      </c>
      <c r="K84" s="35">
        <f>(0.25/600+0.25/600)</f>
        <v>8.3333333333333339E-4</v>
      </c>
      <c r="L84" s="64">
        <f>'Personnel costs'!$E$5*K84</f>
        <v>2.5</v>
      </c>
      <c r="M84" s="30">
        <f>L84*(1.04)^8+L84*(1.04)^7+L84*(1.04)^6+L84*(1.04)^5</f>
        <v>12.916181876342787</v>
      </c>
      <c r="N84" s="24"/>
    </row>
    <row r="85" spans="1:15" s="5" customFormat="1" x14ac:dyDescent="0.25">
      <c r="A85" s="26"/>
      <c r="B85" s="25" t="s">
        <v>58</v>
      </c>
      <c r="C85" s="26" t="s">
        <v>60</v>
      </c>
      <c r="D85" s="25" t="s">
        <v>62</v>
      </c>
      <c r="E85" s="26"/>
      <c r="F85" s="39">
        <v>3.8</v>
      </c>
      <c r="G85" s="40">
        <v>4</v>
      </c>
      <c r="H85" s="30">
        <f>G85*F85</f>
        <v>15.2</v>
      </c>
      <c r="I85" s="83">
        <f t="shared" ref="I85:I86" si="23">F85*(1.04)^8+F85*(1.04)^7+F85*(1.04)^6+F85*(1.04)^5</f>
        <v>19.632596452041035</v>
      </c>
      <c r="J85" s="29" t="s">
        <v>154</v>
      </c>
      <c r="K85" s="25">
        <f>(1/24000+1/22000)</f>
        <v>8.7121212121212124E-5</v>
      </c>
      <c r="L85" s="64">
        <f>'Personnel costs'!$E$5*K85</f>
        <v>0.26136363636363635</v>
      </c>
      <c r="M85" s="30">
        <f>L85*(1.04)^8+L85*(1.04)^7+L85*(1.04)^6+L85*(1.04)^5</f>
        <v>1.3503281052540186</v>
      </c>
      <c r="N85" s="10"/>
    </row>
    <row r="86" spans="1:15" s="5" customFormat="1" x14ac:dyDescent="0.25">
      <c r="A86" s="26"/>
      <c r="B86" s="36" t="s">
        <v>59</v>
      </c>
      <c r="C86" s="26" t="s">
        <v>61</v>
      </c>
      <c r="D86" s="25" t="s">
        <v>93</v>
      </c>
      <c r="E86" s="26"/>
      <c r="F86" s="41">
        <v>3.8</v>
      </c>
      <c r="G86" s="42">
        <v>4</v>
      </c>
      <c r="H86" s="30">
        <f>G86*F86</f>
        <v>15.2</v>
      </c>
      <c r="I86" s="84">
        <f t="shared" si="23"/>
        <v>19.632596452041035</v>
      </c>
      <c r="J86" s="44" t="s">
        <v>154</v>
      </c>
      <c r="K86" s="36">
        <f>(0.25/600+0.25/600)</f>
        <v>8.3333333333333339E-4</v>
      </c>
      <c r="L86" s="64">
        <f>'Personnel costs'!$E$5*K86</f>
        <v>2.5</v>
      </c>
      <c r="M86" s="30">
        <f>L86*(1.04)^8+L86*(1.04)^7+L86*(1.04)^6+L86*(1.04)^5</f>
        <v>12.916181876342787</v>
      </c>
      <c r="N86" s="11"/>
    </row>
    <row r="87" spans="1:15" s="5" customFormat="1" x14ac:dyDescent="0.25">
      <c r="A87" s="92" t="s">
        <v>29</v>
      </c>
      <c r="B87" s="75"/>
      <c r="C87" s="75"/>
      <c r="D87" s="75"/>
      <c r="E87" s="75"/>
      <c r="F87" s="93"/>
      <c r="G87" s="75"/>
      <c r="H87" s="94"/>
      <c r="I87" s="77">
        <f>SUM(I84:I86)</f>
        <v>245.92410292556667</v>
      </c>
      <c r="J87" s="75"/>
      <c r="K87" s="75"/>
      <c r="L87" s="79"/>
      <c r="M87" s="98">
        <f>SUM(M84:M86)</f>
        <v>27.182691857939592</v>
      </c>
      <c r="N87" s="99">
        <f>I87+M87</f>
        <v>273.10679478350625</v>
      </c>
      <c r="O87" s="9"/>
    </row>
    <row r="88" spans="1:15" s="5" customFormat="1" x14ac:dyDescent="0.25">
      <c r="A88" s="26" t="s">
        <v>68</v>
      </c>
      <c r="B88" s="35" t="s">
        <v>50</v>
      </c>
      <c r="C88" s="26" t="s">
        <v>49</v>
      </c>
      <c r="D88" s="25" t="s">
        <v>104</v>
      </c>
      <c r="E88" s="25" t="s">
        <v>68</v>
      </c>
      <c r="F88" s="37">
        <v>40</v>
      </c>
      <c r="G88" s="38">
        <v>5</v>
      </c>
      <c r="H88" s="30">
        <f>G88*F88</f>
        <v>200</v>
      </c>
      <c r="I88" s="114">
        <f>F88*(1.04)^8+F88*(1.04)^7+F88*(1.04)^6+F88*(1.04)^5+F88*(1.04)^4</f>
        <v>253.45325242148459</v>
      </c>
      <c r="J88" s="43" t="s">
        <v>154</v>
      </c>
      <c r="K88" s="35">
        <f>(0.25/600+0.25/600)</f>
        <v>8.3333333333333339E-4</v>
      </c>
      <c r="L88" s="65">
        <f>'Personnel costs'!$E$5*K88</f>
        <v>2.5</v>
      </c>
      <c r="M88" s="101">
        <f>L88*(1.04)^8+L88*(1.04)^7+L88*(1.04)^6+L88*(1.04)^5+L88*(1.04)^4</f>
        <v>15.840828276342787</v>
      </c>
      <c r="N88" s="24"/>
    </row>
    <row r="89" spans="1:15" s="5" customFormat="1" x14ac:dyDescent="0.25">
      <c r="A89" s="26"/>
      <c r="B89" s="25" t="s">
        <v>58</v>
      </c>
      <c r="C89" s="26" t="s">
        <v>60</v>
      </c>
      <c r="D89" s="25" t="s">
        <v>62</v>
      </c>
      <c r="E89" s="26"/>
      <c r="F89" s="39">
        <v>3.8</v>
      </c>
      <c r="G89" s="40">
        <v>5</v>
      </c>
      <c r="H89" s="30">
        <f>G89*F89</f>
        <v>19</v>
      </c>
      <c r="I89" s="28">
        <f>F89*(1.04)^8+F89*(1.04)^7+F89*(1.04)^6+F89*(1.04)^5+F89*(1.04)^4</f>
        <v>24.078058980041035</v>
      </c>
      <c r="J89" s="29" t="s">
        <v>154</v>
      </c>
      <c r="K89" s="25">
        <f>(1/24000+1/22000)</f>
        <v>8.7121212121212124E-5</v>
      </c>
      <c r="L89" s="64">
        <f>'Personnel costs'!$E$5*K89</f>
        <v>0.26136363636363635</v>
      </c>
      <c r="M89" s="101">
        <f t="shared" ref="M89:M90" si="24">L89*(1.04)^8+L89*(1.04)^7+L89*(1.04)^6+L89*(1.04)^5+L89*(1.04)^4</f>
        <v>1.6560865925267458</v>
      </c>
      <c r="N89" s="10"/>
    </row>
    <row r="90" spans="1:15" s="5" customFormat="1" x14ac:dyDescent="0.25">
      <c r="A90" s="26"/>
      <c r="B90" s="36" t="s">
        <v>59</v>
      </c>
      <c r="C90" s="26" t="s">
        <v>61</v>
      </c>
      <c r="D90" s="25" t="s">
        <v>93</v>
      </c>
      <c r="E90" s="26"/>
      <c r="F90" s="41">
        <v>3.8</v>
      </c>
      <c r="G90" s="42">
        <v>5</v>
      </c>
      <c r="H90" s="30">
        <f>G90*F90</f>
        <v>19</v>
      </c>
      <c r="I90" s="115">
        <f>F90*(1.04)^8+F90*(1.04)^7+F90*(1.04)^6+F90*(1.04)^5+F90*(1.04)^4</f>
        <v>24.078058980041035</v>
      </c>
      <c r="J90" s="44" t="s">
        <v>154</v>
      </c>
      <c r="K90" s="36">
        <f>(0.25/600+0.25/600)</f>
        <v>8.3333333333333339E-4</v>
      </c>
      <c r="L90" s="64">
        <f>'Personnel costs'!$E$5*K90</f>
        <v>2.5</v>
      </c>
      <c r="M90" s="101">
        <f t="shared" si="24"/>
        <v>15.840828276342787</v>
      </c>
      <c r="N90" s="11"/>
    </row>
    <row r="91" spans="1:15" s="5" customFormat="1" x14ac:dyDescent="0.25">
      <c r="A91" s="92" t="s">
        <v>29</v>
      </c>
      <c r="B91" s="75"/>
      <c r="C91" s="75"/>
      <c r="D91" s="75"/>
      <c r="E91" s="75"/>
      <c r="F91" s="93"/>
      <c r="G91" s="75"/>
      <c r="H91" s="94"/>
      <c r="I91" s="94">
        <f>SUM(I88:I90)</f>
        <v>301.60937038156663</v>
      </c>
      <c r="J91" s="75"/>
      <c r="K91" s="75"/>
      <c r="L91" s="79"/>
      <c r="M91" s="96">
        <f>SUM(M88:M90)</f>
        <v>33.337743145212315</v>
      </c>
      <c r="N91" s="80">
        <f>I91+M91</f>
        <v>334.94711352677894</v>
      </c>
      <c r="O91" s="9"/>
    </row>
    <row r="92" spans="1:15" s="5" customFormat="1" x14ac:dyDescent="0.25">
      <c r="A92" s="26" t="s">
        <v>76</v>
      </c>
      <c r="B92" s="35" t="s">
        <v>50</v>
      </c>
      <c r="C92" s="26" t="s">
        <v>49</v>
      </c>
      <c r="D92" s="25" t="s">
        <v>105</v>
      </c>
      <c r="E92" s="25" t="s">
        <v>69</v>
      </c>
      <c r="F92" s="37">
        <v>40</v>
      </c>
      <c r="G92" s="38">
        <v>6</v>
      </c>
      <c r="H92" s="30">
        <f>G92*F92</f>
        <v>240</v>
      </c>
      <c r="I92" s="114">
        <f>F92*(1.04)^8+F92*(1.04)^7+F92*(1.04)^6+F92*(1.04)^5+F92*(1.04)^4+F92*(1.04)^3</f>
        <v>298.44781242148463</v>
      </c>
      <c r="J92" s="43" t="s">
        <v>154</v>
      </c>
      <c r="K92" s="35">
        <f>(0.25/600+0.25/600)</f>
        <v>8.3333333333333339E-4</v>
      </c>
      <c r="L92" s="65">
        <f>'Personnel costs'!$E$5*K92</f>
        <v>2.5</v>
      </c>
      <c r="M92" s="103">
        <f>L92*(1.04)^8+L92*(1.04)^7+L92*(1.04)^6+L92*(1.04)^5+L92*(1.04)^4+L92*(1.04)^3</f>
        <v>18.652988276342789</v>
      </c>
      <c r="N92" s="24"/>
    </row>
    <row r="93" spans="1:15" s="5" customFormat="1" x14ac:dyDescent="0.25">
      <c r="A93" s="26"/>
      <c r="B93" s="25" t="s">
        <v>58</v>
      </c>
      <c r="C93" s="26" t="s">
        <v>60</v>
      </c>
      <c r="D93" s="25" t="s">
        <v>62</v>
      </c>
      <c r="E93" s="26"/>
      <c r="F93" s="39">
        <v>3.8</v>
      </c>
      <c r="G93" s="40">
        <v>6</v>
      </c>
      <c r="H93" s="30">
        <f>G93*F93</f>
        <v>22.799999999999997</v>
      </c>
      <c r="I93" s="28">
        <f>F93*(1.04)^8+F93*(1.04)^7+F93*(1.04)^6+F93*(1.04)^5+F93*(1.04)^4+F93*(1.04)^3</f>
        <v>28.352542180041034</v>
      </c>
      <c r="J93" s="29" t="s">
        <v>154</v>
      </c>
      <c r="K93" s="25">
        <f>(1/24000+1/22000)</f>
        <v>8.7121212121212124E-5</v>
      </c>
      <c r="L93" s="64">
        <f>'Personnel costs'!$E$5*K93</f>
        <v>0.26136363636363635</v>
      </c>
      <c r="M93" s="103">
        <f t="shared" ref="M93:M94" si="25">L93*(1.04)^8+L93*(1.04)^7+L93*(1.04)^6+L93*(1.04)^5+L93*(1.04)^4+L93*(1.04)^3</f>
        <v>1.9500851379812913</v>
      </c>
      <c r="N93" s="10"/>
    </row>
    <row r="94" spans="1:15" s="5" customFormat="1" x14ac:dyDescent="0.25">
      <c r="A94" s="26"/>
      <c r="B94" s="36" t="s">
        <v>59</v>
      </c>
      <c r="C94" s="26" t="s">
        <v>61</v>
      </c>
      <c r="D94" s="25" t="s">
        <v>93</v>
      </c>
      <c r="E94" s="26"/>
      <c r="F94" s="41">
        <v>3.8</v>
      </c>
      <c r="G94" s="42">
        <v>6</v>
      </c>
      <c r="H94" s="30">
        <f>G94*F94</f>
        <v>22.799999999999997</v>
      </c>
      <c r="I94" s="115">
        <f>F94*(1.04)^8+F94*(1.04)^7+F94*(1.04)^6+F94*(1.04)^5+F94*(1.04)^4+F94*(1.04)^3</f>
        <v>28.352542180041034</v>
      </c>
      <c r="J94" s="44" t="s">
        <v>154</v>
      </c>
      <c r="K94" s="36">
        <f>(0.25/600+0.25/600)</f>
        <v>8.3333333333333339E-4</v>
      </c>
      <c r="L94" s="64">
        <f>'Personnel costs'!$E$5*K94</f>
        <v>2.5</v>
      </c>
      <c r="M94" s="103">
        <f t="shared" si="25"/>
        <v>18.652988276342789</v>
      </c>
      <c r="N94" s="10"/>
    </row>
    <row r="95" spans="1:15" s="5" customFormat="1" x14ac:dyDescent="0.25">
      <c r="A95" s="92" t="s">
        <v>29</v>
      </c>
      <c r="B95" s="75"/>
      <c r="C95" s="75"/>
      <c r="D95" s="75"/>
      <c r="E95" s="75"/>
      <c r="F95" s="93"/>
      <c r="G95" s="75"/>
      <c r="H95" s="94"/>
      <c r="I95" s="94">
        <f>SUM(I92:I94)</f>
        <v>355.15289678156671</v>
      </c>
      <c r="J95" s="75"/>
      <c r="K95" s="75"/>
      <c r="L95" s="79"/>
      <c r="M95" s="104">
        <f>SUM(M92:M94)</f>
        <v>39.256061690666868</v>
      </c>
      <c r="N95" s="105">
        <f>I95+M95</f>
        <v>394.40895847223356</v>
      </c>
    </row>
    <row r="96" spans="1:15" s="5" customFormat="1" x14ac:dyDescent="0.25">
      <c r="A96" s="26" t="s">
        <v>77</v>
      </c>
      <c r="B96" s="35" t="s">
        <v>50</v>
      </c>
      <c r="C96" s="26" t="s">
        <v>49</v>
      </c>
      <c r="D96" s="35" t="s">
        <v>106</v>
      </c>
      <c r="E96" s="25" t="s">
        <v>70</v>
      </c>
      <c r="F96" s="37">
        <v>40</v>
      </c>
      <c r="G96" s="38">
        <v>7</v>
      </c>
      <c r="H96" s="30">
        <f>G96*F96</f>
        <v>280</v>
      </c>
      <c r="I96" s="114">
        <f>F96*(1.04)^8+F96*(1.04)^7+F96*(1.04)^6+F96*(1.04)^5+F96*(1.04)^4+F96*(1.04)^3+F96*(1.04)^2</f>
        <v>341.71181242148464</v>
      </c>
      <c r="J96" s="43" t="s">
        <v>154</v>
      </c>
      <c r="K96" s="35">
        <f>(0.25/600+0.25/600)</f>
        <v>8.3333333333333339E-4</v>
      </c>
      <c r="L96" s="65">
        <v>5.5454545454545459</v>
      </c>
      <c r="M96" s="103">
        <f>L96*(1.04)^8+L96*(1.04)^7+L96*(1.04)^6+L96*(1.04)^5+L96*(1.04)^4+L96*(1.04)^3+L96*(1.04)^2</f>
        <v>47.373683085705821</v>
      </c>
      <c r="N96" s="10"/>
    </row>
    <row r="97" spans="1:15" s="5" customFormat="1" x14ac:dyDescent="0.25">
      <c r="A97" s="26"/>
      <c r="B97" s="25" t="s">
        <v>58</v>
      </c>
      <c r="C97" s="26" t="s">
        <v>60</v>
      </c>
      <c r="D97" s="25" t="s">
        <v>62</v>
      </c>
      <c r="E97" s="26"/>
      <c r="F97" s="39">
        <v>3.8</v>
      </c>
      <c r="G97" s="40">
        <v>7</v>
      </c>
      <c r="H97" s="30">
        <f>G97*F97</f>
        <v>26.599999999999998</v>
      </c>
      <c r="I97" s="28">
        <f t="shared" ref="I97:I98" si="26">F97*(1.04)^8+F97*(1.04)^7+F97*(1.04)^6+F97*(1.04)^5+F97*(1.04)^4+F97*(1.04)^3+F97*(1.04)^2</f>
        <v>32.462622180041038</v>
      </c>
      <c r="J97" s="29" t="s">
        <v>154</v>
      </c>
      <c r="K97" s="25">
        <f>(1/24000+1/22000)</f>
        <v>8.7121212121212124E-5</v>
      </c>
      <c r="L97" s="64">
        <v>0.67045454545454541</v>
      </c>
      <c r="M97" s="103">
        <f t="shared" ref="M97:M98" si="27">L97*(1.04)^8+L97*(1.04)^7+L97*(1.04)^6+L97*(1.04)^5+L97*(1.04)^4+L97*(1.04)^3+L97*(1.04)^2</f>
        <v>5.7275559468373842</v>
      </c>
      <c r="N97" s="106"/>
    </row>
    <row r="98" spans="1:15" s="5" customFormat="1" x14ac:dyDescent="0.25">
      <c r="A98" s="26"/>
      <c r="B98" s="36" t="s">
        <v>59</v>
      </c>
      <c r="C98" s="26" t="s">
        <v>61</v>
      </c>
      <c r="D98" s="25" t="s">
        <v>93</v>
      </c>
      <c r="E98" s="26"/>
      <c r="F98" s="41">
        <v>3.8</v>
      </c>
      <c r="G98" s="42">
        <v>7</v>
      </c>
      <c r="H98" s="30">
        <f>G98*F98</f>
        <v>26.599999999999998</v>
      </c>
      <c r="I98" s="115">
        <f t="shared" si="26"/>
        <v>32.462622180041038</v>
      </c>
      <c r="J98" s="44" t="s">
        <v>154</v>
      </c>
      <c r="K98" s="36">
        <f>(0.25/600+0.25/600)</f>
        <v>8.3333333333333339E-4</v>
      </c>
      <c r="L98" s="66">
        <v>0.67045454545454541</v>
      </c>
      <c r="M98" s="107">
        <f t="shared" si="27"/>
        <v>5.7275559468373842</v>
      </c>
      <c r="N98" s="11"/>
    </row>
    <row r="99" spans="1:15" s="5" customFormat="1" x14ac:dyDescent="0.25">
      <c r="A99" s="92" t="s">
        <v>29</v>
      </c>
      <c r="B99" s="75"/>
      <c r="C99" s="75"/>
      <c r="D99" s="75"/>
      <c r="E99" s="75"/>
      <c r="F99" s="93"/>
      <c r="G99" s="75"/>
      <c r="H99" s="94"/>
      <c r="I99" s="94">
        <f>SUM(I96:I98)</f>
        <v>406.63705678156668</v>
      </c>
      <c r="J99" s="75"/>
      <c r="K99" s="75"/>
      <c r="L99" s="79"/>
      <c r="M99" s="108">
        <f>SUM(M96:M98)</f>
        <v>58.828794979380589</v>
      </c>
      <c r="N99" s="105">
        <f>I99+M99</f>
        <v>465.46585176094726</v>
      </c>
      <c r="O99" s="9"/>
    </row>
    <row r="101" spans="1:15" ht="33.75" x14ac:dyDescent="0.5">
      <c r="A101" s="45" t="s">
        <v>145</v>
      </c>
      <c r="B101" s="13"/>
      <c r="N101" s="5"/>
    </row>
    <row r="102" spans="1:15" x14ac:dyDescent="0.25">
      <c r="H102" s="1"/>
      <c r="I102" s="71"/>
      <c r="K102" s="60"/>
      <c r="L102" s="86"/>
      <c r="M102" s="71"/>
      <c r="N102" s="5"/>
    </row>
    <row r="103" spans="1:15" x14ac:dyDescent="0.25">
      <c r="A103" s="14" t="s">
        <v>71</v>
      </c>
      <c r="B103" s="18" t="s">
        <v>35</v>
      </c>
      <c r="C103" s="15" t="s">
        <v>7</v>
      </c>
      <c r="D103" s="16" t="s">
        <v>9</v>
      </c>
      <c r="E103" s="15" t="s">
        <v>15</v>
      </c>
      <c r="F103" s="16" t="s">
        <v>11</v>
      </c>
      <c r="G103" s="16" t="s">
        <v>12</v>
      </c>
      <c r="H103" s="15" t="s">
        <v>13</v>
      </c>
      <c r="I103" s="16" t="s">
        <v>94</v>
      </c>
      <c r="J103" s="16" t="s">
        <v>14</v>
      </c>
      <c r="K103" s="16" t="s">
        <v>10</v>
      </c>
      <c r="L103" s="63" t="s">
        <v>8</v>
      </c>
      <c r="M103" s="16" t="s">
        <v>95</v>
      </c>
      <c r="N103" s="22" t="s">
        <v>96</v>
      </c>
    </row>
    <row r="104" spans="1:15" x14ac:dyDescent="0.25">
      <c r="A104" s="26" t="s">
        <v>74</v>
      </c>
      <c r="B104" s="35" t="s">
        <v>50</v>
      </c>
      <c r="C104" s="26" t="s">
        <v>117</v>
      </c>
      <c r="D104" s="25" t="s">
        <v>114</v>
      </c>
      <c r="E104" s="25" t="s">
        <v>115</v>
      </c>
      <c r="F104" s="39">
        <v>0</v>
      </c>
      <c r="G104" s="40">
        <v>1</v>
      </c>
      <c r="H104" s="130">
        <f>G104*F104</f>
        <v>0</v>
      </c>
      <c r="I104" s="82">
        <f>F104*(1.04)^8+F104*(1.04)^7+F104*(1.04)^6+F104*(1.04)^5</f>
        <v>0</v>
      </c>
      <c r="J104" s="131" t="s">
        <v>154</v>
      </c>
      <c r="K104" s="149" t="s">
        <v>116</v>
      </c>
      <c r="L104" s="64">
        <v>0</v>
      </c>
      <c r="M104" s="30">
        <f>L104*(1.04)^8+L104*(1.04)^7+L104*(1.04)^6+L104*(1.04)^5</f>
        <v>0</v>
      </c>
      <c r="N104" s="24"/>
    </row>
    <row r="105" spans="1:15" x14ac:dyDescent="0.25">
      <c r="A105" s="92" t="s">
        <v>29</v>
      </c>
      <c r="B105" s="75"/>
      <c r="C105" s="75"/>
      <c r="D105" s="75"/>
      <c r="E105" s="75"/>
      <c r="F105" s="93"/>
      <c r="G105" s="75"/>
      <c r="H105" s="94"/>
      <c r="I105" s="77">
        <f>SUM(I104:I104)</f>
        <v>0</v>
      </c>
      <c r="J105" s="95"/>
      <c r="K105" s="75"/>
      <c r="L105" s="79"/>
      <c r="M105" s="98">
        <f>SUM(M104:M104)</f>
        <v>0</v>
      </c>
      <c r="N105" s="99">
        <f>I105+M105</f>
        <v>0</v>
      </c>
      <c r="O105" s="9"/>
    </row>
    <row r="106" spans="1:15" x14ac:dyDescent="0.25">
      <c r="C106" t="s">
        <v>118</v>
      </c>
    </row>
  </sheetData>
  <autoFilter ref="A7:K10"/>
  <dataValidations count="1">
    <dataValidation type="list" allowBlank="1" showInputMessage="1" showErrorMessage="1" promptTitle="personnal listed in personnal co" sqref="J76:J78 J20:J36 J16:J18 J8:J10 J12:J14 J48:J50 J40:J42 J52:J68 J84:J99 J44:J46 J80:J82 J72:J74 J104:J105">
      <formula1>code_hr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G36" sqref="G36"/>
    </sheetView>
  </sheetViews>
  <sheetFormatPr defaultRowHeight="15" x14ac:dyDescent="0.25"/>
  <cols>
    <col min="1" max="1" width="26.42578125" customWidth="1"/>
    <col min="2" max="2" width="35.140625" customWidth="1"/>
    <col min="3" max="3" width="30.7109375" customWidth="1"/>
    <col min="4" max="4" width="17" customWidth="1"/>
    <col min="5" max="5" width="16.85546875" customWidth="1"/>
    <col min="6" max="6" width="23.42578125" customWidth="1"/>
    <col min="7" max="7" width="17.5703125" customWidth="1"/>
    <col min="8" max="8" width="32.7109375" customWidth="1"/>
  </cols>
  <sheetData>
    <row r="1" spans="1:9" ht="33.75" x14ac:dyDescent="0.5">
      <c r="A1" s="13" t="s">
        <v>30</v>
      </c>
    </row>
    <row r="2" spans="1:9" ht="31.5" x14ac:dyDescent="0.5">
      <c r="A2" s="61" t="s">
        <v>146</v>
      </c>
      <c r="D2" s="60"/>
      <c r="E2" s="60"/>
    </row>
    <row r="4" spans="1:9" x14ac:dyDescent="0.25">
      <c r="A4" s="2" t="s">
        <v>80</v>
      </c>
      <c r="B4" s="17" t="s">
        <v>71</v>
      </c>
      <c r="C4" s="2" t="s">
        <v>21</v>
      </c>
      <c r="D4" s="16" t="s">
        <v>11</v>
      </c>
      <c r="E4" s="15" t="s">
        <v>12</v>
      </c>
      <c r="F4" s="16" t="s">
        <v>22</v>
      </c>
      <c r="G4" s="70" t="s">
        <v>92</v>
      </c>
      <c r="H4" s="15" t="s">
        <v>23</v>
      </c>
    </row>
    <row r="5" spans="1:9" s="23" customFormat="1" x14ac:dyDescent="0.25">
      <c r="A5" s="23" t="s">
        <v>73</v>
      </c>
      <c r="B5" s="29" t="s">
        <v>51</v>
      </c>
      <c r="C5" s="25" t="s">
        <v>64</v>
      </c>
      <c r="D5" s="31">
        <v>29</v>
      </c>
      <c r="E5" s="25">
        <v>4</v>
      </c>
      <c r="F5" s="53">
        <f>D5*E5</f>
        <v>116</v>
      </c>
      <c r="G5" s="124">
        <f>F5-'Expenses induced by the plan'!N11</f>
        <v>43.655573765053944</v>
      </c>
      <c r="H5" s="40"/>
      <c r="I5" s="32"/>
    </row>
    <row r="6" spans="1:9" s="23" customFormat="1" x14ac:dyDescent="0.25">
      <c r="B6" s="29" t="s">
        <v>65</v>
      </c>
      <c r="C6" s="25" t="s">
        <v>64</v>
      </c>
      <c r="D6" s="31">
        <v>29</v>
      </c>
      <c r="E6" s="25">
        <v>4.5</v>
      </c>
      <c r="F6" s="53">
        <f>D6*E6</f>
        <v>130.5</v>
      </c>
      <c r="G6" s="125">
        <f>F6-'Expenses induced by the plan'!N15</f>
        <v>-11.406374537778817</v>
      </c>
      <c r="H6" s="40"/>
      <c r="I6" s="32"/>
    </row>
    <row r="7" spans="1:9" s="23" customFormat="1" x14ac:dyDescent="0.25">
      <c r="B7" s="29" t="s">
        <v>66</v>
      </c>
      <c r="C7" s="25" t="s">
        <v>64</v>
      </c>
      <c r="D7" s="31">
        <v>29</v>
      </c>
      <c r="E7" s="33">
        <v>7.8241931957969939</v>
      </c>
      <c r="F7" s="53">
        <f t="shared" ref="F7:F11" si="0">D7*E7</f>
        <v>226.90160267811282</v>
      </c>
      <c r="G7" s="125">
        <f>F7-'Expenses induced by the plan'!N19</f>
        <v>18.108739387610228</v>
      </c>
      <c r="H7" s="40"/>
      <c r="I7" s="32"/>
    </row>
    <row r="8" spans="1:9" s="23" customFormat="1" x14ac:dyDescent="0.25">
      <c r="B8" s="29" t="s">
        <v>67</v>
      </c>
      <c r="C8" s="25" t="s">
        <v>64</v>
      </c>
      <c r="D8" s="31">
        <v>29</v>
      </c>
      <c r="E8" s="33">
        <v>11.225791943222987</v>
      </c>
      <c r="F8" s="53">
        <f t="shared" si="0"/>
        <v>325.54796635346662</v>
      </c>
      <c r="G8" s="125">
        <f>F8-'Expenses induced by the plan'!N23</f>
        <v>52.441171569960375</v>
      </c>
      <c r="H8" s="40"/>
      <c r="I8" s="32"/>
    </row>
    <row r="9" spans="1:9" s="23" customFormat="1" x14ac:dyDescent="0.25">
      <c r="B9" s="29" t="s">
        <v>68</v>
      </c>
      <c r="C9" s="25" t="s">
        <v>64</v>
      </c>
      <c r="D9" s="31">
        <v>29</v>
      </c>
      <c r="E9" s="33">
        <v>12.264442476312013</v>
      </c>
      <c r="F9" s="53">
        <f t="shared" si="0"/>
        <v>355.66883181304837</v>
      </c>
      <c r="G9" s="125">
        <f>F9-'Expenses induced by the plan'!N27</f>
        <v>20.721718286269436</v>
      </c>
      <c r="H9" s="40"/>
      <c r="I9" s="32"/>
    </row>
    <row r="10" spans="1:9" s="23" customFormat="1" x14ac:dyDescent="0.25">
      <c r="B10" s="29" t="s">
        <v>69</v>
      </c>
      <c r="C10" s="25" t="s">
        <v>64</v>
      </c>
      <c r="D10" s="31">
        <v>29</v>
      </c>
      <c r="E10" s="33">
        <v>13.198571058654011</v>
      </c>
      <c r="F10" s="53">
        <f t="shared" si="0"/>
        <v>382.75856070096631</v>
      </c>
      <c r="G10" s="125">
        <f>F10-'Expenses induced by the plan'!N31</f>
        <v>-11.650397771267251</v>
      </c>
      <c r="H10" s="40"/>
      <c r="I10" s="32"/>
    </row>
    <row r="11" spans="1:9" s="23" customFormat="1" x14ac:dyDescent="0.25">
      <c r="A11" s="47"/>
      <c r="B11" s="44" t="s">
        <v>70</v>
      </c>
      <c r="C11" s="36" t="s">
        <v>64</v>
      </c>
      <c r="D11" s="48">
        <v>29</v>
      </c>
      <c r="E11" s="49">
        <v>11.726352682732994</v>
      </c>
      <c r="F11" s="54">
        <f t="shared" si="0"/>
        <v>340.06422779925686</v>
      </c>
      <c r="G11" s="126">
        <f>F11-'Expenses induced by the plan'!N35</f>
        <v>-125.4016239616904</v>
      </c>
      <c r="H11" s="42"/>
      <c r="I11" s="32"/>
    </row>
    <row r="12" spans="1:9" x14ac:dyDescent="0.25">
      <c r="A12" s="23" t="s">
        <v>79</v>
      </c>
      <c r="B12" s="29" t="s">
        <v>51</v>
      </c>
      <c r="C12" s="25" t="s">
        <v>64</v>
      </c>
      <c r="D12" s="31">
        <v>29</v>
      </c>
      <c r="E12" s="50">
        <v>12.973645567936998</v>
      </c>
      <c r="F12" s="123">
        <f>D12*E12</f>
        <v>376.23572147017296</v>
      </c>
      <c r="G12" s="127">
        <f>F12-'Expenses induced by the plan'!N43</f>
        <v>303.89129523522689</v>
      </c>
      <c r="H12" s="24"/>
    </row>
    <row r="13" spans="1:9" x14ac:dyDescent="0.25">
      <c r="B13" s="29" t="s">
        <v>65</v>
      </c>
      <c r="C13" s="25" t="s">
        <v>64</v>
      </c>
      <c r="D13" s="31">
        <v>29</v>
      </c>
      <c r="E13" s="51">
        <v>21.604057202990006</v>
      </c>
      <c r="F13" s="127">
        <f>D13*E13</f>
        <v>626.51765888671014</v>
      </c>
      <c r="G13" s="127">
        <f>F13-'Expenses induced by the plan'!N47</f>
        <v>484.61128434893135</v>
      </c>
      <c r="H13" s="10"/>
    </row>
    <row r="14" spans="1:9" x14ac:dyDescent="0.25">
      <c r="B14" s="25" t="s">
        <v>66</v>
      </c>
      <c r="C14" s="25" t="s">
        <v>64</v>
      </c>
      <c r="D14" s="31">
        <v>29</v>
      </c>
      <c r="E14" s="51">
        <v>32.147316057023986</v>
      </c>
      <c r="F14" s="127">
        <f t="shared" ref="F14:F17" si="1">D14*E14</f>
        <v>932.27216565369554</v>
      </c>
      <c r="G14" s="127">
        <f>F14-'Expenses induced by the plan'!N51</f>
        <v>723.47930236319291</v>
      </c>
      <c r="H14" s="10"/>
    </row>
    <row r="15" spans="1:9" x14ac:dyDescent="0.25">
      <c r="B15" s="29" t="s">
        <v>67</v>
      </c>
      <c r="C15" s="25" t="s">
        <v>64</v>
      </c>
      <c r="D15" s="31">
        <v>29</v>
      </c>
      <c r="E15" s="51">
        <v>41.527809677066998</v>
      </c>
      <c r="F15" s="127">
        <f t="shared" si="1"/>
        <v>1204.306480634943</v>
      </c>
      <c r="G15" s="127">
        <f>F15-'Expenses induced by the plan'!N55</f>
        <v>931.1996858514367</v>
      </c>
      <c r="H15" s="10"/>
    </row>
    <row r="16" spans="1:9" x14ac:dyDescent="0.25">
      <c r="B16" s="29" t="s">
        <v>68</v>
      </c>
      <c r="C16" s="25" t="s">
        <v>64</v>
      </c>
      <c r="D16" s="31">
        <v>29</v>
      </c>
      <c r="E16" s="51">
        <v>45.601523050357983</v>
      </c>
      <c r="F16" s="127">
        <f t="shared" si="1"/>
        <v>1322.4441684603814</v>
      </c>
      <c r="G16" s="127">
        <f>F16-'Expenses induced by the plan'!N59</f>
        <v>987.4970549336025</v>
      </c>
      <c r="H16" s="10"/>
    </row>
    <row r="17" spans="1:8" x14ac:dyDescent="0.25">
      <c r="B17" s="29" t="s">
        <v>69</v>
      </c>
      <c r="C17" s="25" t="s">
        <v>64</v>
      </c>
      <c r="D17" s="31">
        <v>29</v>
      </c>
      <c r="E17" s="51">
        <v>50.351372196292985</v>
      </c>
      <c r="F17" s="127">
        <f t="shared" si="1"/>
        <v>1460.1897936924966</v>
      </c>
      <c r="G17" s="127">
        <f>F17-'Expenses induced by the plan'!N63</f>
        <v>1065.780835220263</v>
      </c>
      <c r="H17" s="10"/>
    </row>
    <row r="18" spans="1:8" x14ac:dyDescent="0.25">
      <c r="A18" s="58"/>
      <c r="B18" s="44" t="s">
        <v>70</v>
      </c>
      <c r="C18" s="36" t="s">
        <v>64</v>
      </c>
      <c r="D18" s="48">
        <v>29</v>
      </c>
      <c r="E18" s="52">
        <v>49.17319099144099</v>
      </c>
      <c r="F18" s="128">
        <f>D18*E18</f>
        <v>1426.0225387517887</v>
      </c>
      <c r="G18" s="128">
        <f>F18-'Expenses induced by the plan'!N67</f>
        <v>960.5566869908414</v>
      </c>
      <c r="H18" s="11"/>
    </row>
    <row r="19" spans="1:8" x14ac:dyDescent="0.25">
      <c r="A19" s="23" t="s">
        <v>81</v>
      </c>
      <c r="B19" s="29" t="s">
        <v>51</v>
      </c>
      <c r="C19" s="25" t="s">
        <v>64</v>
      </c>
      <c r="D19" s="31">
        <v>29</v>
      </c>
      <c r="E19" s="50">
        <v>15.664168197569808</v>
      </c>
      <c r="F19" s="55">
        <f>D19*E19</f>
        <v>454.2608777295244</v>
      </c>
      <c r="G19" s="127">
        <f>F19-'Expenses induced by the plan'!N75</f>
        <v>381.91645149457833</v>
      </c>
      <c r="H19" s="24"/>
    </row>
    <row r="20" spans="1:8" x14ac:dyDescent="0.25">
      <c r="B20" s="29" t="s">
        <v>65</v>
      </c>
      <c r="C20" s="25" t="s">
        <v>64</v>
      </c>
      <c r="D20" s="31">
        <v>29</v>
      </c>
      <c r="E20" s="51">
        <v>31.505208798654806</v>
      </c>
      <c r="F20" s="56">
        <f>D20*E20</f>
        <v>913.65105516098936</v>
      </c>
      <c r="G20" s="56">
        <f>F20-'Expenses induced by the plan'!N79</f>
        <v>771.74468062321057</v>
      </c>
      <c r="H20" s="10"/>
    </row>
    <row r="21" spans="1:8" x14ac:dyDescent="0.25">
      <c r="B21" s="29" t="s">
        <v>66</v>
      </c>
      <c r="C21" s="25" t="s">
        <v>64</v>
      </c>
      <c r="D21" s="31">
        <v>29</v>
      </c>
      <c r="E21" s="51">
        <v>48.246320992448801</v>
      </c>
      <c r="F21" s="56">
        <f t="shared" ref="F21:F24" si="2">D21*E21</f>
        <v>1399.1433087810153</v>
      </c>
      <c r="G21" s="56">
        <f>F21-'Expenses induced by the plan'!N83</f>
        <v>1190.3504454905128</v>
      </c>
      <c r="H21" s="10"/>
    </row>
    <row r="22" spans="1:8" x14ac:dyDescent="0.25">
      <c r="B22" s="29" t="s">
        <v>67</v>
      </c>
      <c r="C22" s="25" t="s">
        <v>64</v>
      </c>
      <c r="D22" s="31">
        <v>29</v>
      </c>
      <c r="E22" s="51">
        <v>64.148330340980806</v>
      </c>
      <c r="F22" s="56">
        <f t="shared" si="2"/>
        <v>1860.3015798884435</v>
      </c>
      <c r="G22" s="56">
        <f>F22-'Expenses induced by the plan'!N87</f>
        <v>1587.1947851049372</v>
      </c>
      <c r="H22" s="10"/>
    </row>
    <row r="23" spans="1:8" x14ac:dyDescent="0.25">
      <c r="B23" s="29" t="s">
        <v>68</v>
      </c>
      <c r="C23" s="25" t="s">
        <v>64</v>
      </c>
      <c r="D23" s="31">
        <v>29</v>
      </c>
      <c r="E23" s="51">
        <v>73.062568998737788</v>
      </c>
      <c r="F23" s="56">
        <f t="shared" si="2"/>
        <v>2118.8145009633959</v>
      </c>
      <c r="G23" s="56">
        <f>F23-'Expenses induced by the plan'!N91</f>
        <v>1783.8673874366168</v>
      </c>
      <c r="H23" s="10"/>
    </row>
    <row r="24" spans="1:8" x14ac:dyDescent="0.25">
      <c r="B24" s="29" t="s">
        <v>69</v>
      </c>
      <c r="C24" s="25" t="s">
        <v>64</v>
      </c>
      <c r="D24" s="31">
        <v>29</v>
      </c>
      <c r="E24" s="51">
        <v>80.4852697763028</v>
      </c>
      <c r="F24" s="56">
        <f t="shared" si="2"/>
        <v>2334.0728235127813</v>
      </c>
      <c r="G24" s="56">
        <f>F24-'Expenses induced by the plan'!N95</f>
        <v>1939.6638650405478</v>
      </c>
      <c r="H24" s="10"/>
    </row>
    <row r="25" spans="1:8" x14ac:dyDescent="0.25">
      <c r="A25" s="58"/>
      <c r="B25" s="44" t="s">
        <v>70</v>
      </c>
      <c r="C25" s="36" t="s">
        <v>64</v>
      </c>
      <c r="D25" s="48">
        <v>29</v>
      </c>
      <c r="E25" s="52">
        <v>80.369598954806804</v>
      </c>
      <c r="F25" s="57">
        <f>D25*E25</f>
        <v>2330.7183696893972</v>
      </c>
      <c r="G25" s="57">
        <f>F25-'Expenses induced by the plan'!N99</f>
        <v>1865.2525179284498</v>
      </c>
      <c r="H25" s="11"/>
    </row>
    <row r="26" spans="1:8" x14ac:dyDescent="0.25">
      <c r="A26" s="135" t="s">
        <v>151</v>
      </c>
      <c r="B26" s="135" t="s">
        <v>67</v>
      </c>
      <c r="C26" s="131" t="s">
        <v>64</v>
      </c>
      <c r="D26" s="136">
        <v>29</v>
      </c>
      <c r="E26" s="137">
        <v>21.409988993435803</v>
      </c>
      <c r="F26" s="138">
        <f>D26*E26</f>
        <v>620.88968080963832</v>
      </c>
      <c r="G26" s="138">
        <f>F26-'Expenses induced by the plan'!N105</f>
        <v>620.88968080963832</v>
      </c>
      <c r="H26" s="2"/>
    </row>
  </sheetData>
  <autoFilter ref="B4:H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zoomScale="80" zoomScaleNormal="80" workbookViewId="0">
      <selection activeCell="E27" sqref="E27"/>
    </sheetView>
  </sheetViews>
  <sheetFormatPr defaultRowHeight="15" x14ac:dyDescent="0.25"/>
  <cols>
    <col min="1" max="1" width="21.5703125" customWidth="1"/>
    <col min="2" max="2" width="28.5703125" customWidth="1"/>
    <col min="3" max="3" width="24.140625" customWidth="1"/>
    <col min="4" max="5" width="21.7109375" bestFit="1" customWidth="1"/>
    <col min="11" max="11" width="10.7109375" bestFit="1" customWidth="1"/>
    <col min="12" max="12" width="19.5703125" bestFit="1" customWidth="1"/>
    <col min="13" max="13" width="21.85546875" customWidth="1"/>
    <col min="14" max="15" width="21.7109375" bestFit="1" customWidth="1"/>
  </cols>
  <sheetData>
    <row r="2" spans="1:2" x14ac:dyDescent="0.25">
      <c r="A2" t="s">
        <v>125</v>
      </c>
    </row>
    <row r="3" spans="1:2" ht="15.75" x14ac:dyDescent="0.25">
      <c r="A3" s="141" t="s">
        <v>126</v>
      </c>
      <c r="B3" t="s">
        <v>107</v>
      </c>
    </row>
    <row r="4" spans="1:2" x14ac:dyDescent="0.25">
      <c r="A4" s="112" t="s">
        <v>127</v>
      </c>
      <c r="B4" s="72" t="s">
        <v>108</v>
      </c>
    </row>
    <row r="5" spans="1:2" x14ac:dyDescent="0.25">
      <c r="A5" s="112" t="s">
        <v>120</v>
      </c>
      <c r="B5" s="72" t="s">
        <v>113</v>
      </c>
    </row>
    <row r="6" spans="1:2" x14ac:dyDescent="0.25">
      <c r="A6" s="112" t="s">
        <v>121</v>
      </c>
      <c r="B6" s="72" t="s">
        <v>112</v>
      </c>
    </row>
    <row r="7" spans="1:2" x14ac:dyDescent="0.25">
      <c r="A7" s="112" t="s">
        <v>149</v>
      </c>
      <c r="B7" s="72" t="s">
        <v>111</v>
      </c>
    </row>
    <row r="8" spans="1:2" x14ac:dyDescent="0.25">
      <c r="A8" s="112" t="s">
        <v>122</v>
      </c>
      <c r="B8" s="72" t="s">
        <v>110</v>
      </c>
    </row>
    <row r="9" spans="1:2" x14ac:dyDescent="0.25">
      <c r="A9" s="112" t="s">
        <v>123</v>
      </c>
      <c r="B9" s="72" t="s">
        <v>109</v>
      </c>
    </row>
    <row r="10" spans="1:2" x14ac:dyDescent="0.25">
      <c r="A10" s="112"/>
      <c r="B10" s="72"/>
    </row>
    <row r="11" spans="1:2" x14ac:dyDescent="0.25">
      <c r="A11" s="148" t="s">
        <v>150</v>
      </c>
      <c r="B11" s="72"/>
    </row>
    <row r="12" spans="1:2" x14ac:dyDescent="0.25">
      <c r="A12" s="148"/>
      <c r="B12" s="72"/>
    </row>
    <row r="14" spans="1:2" ht="15.75" x14ac:dyDescent="0.25">
      <c r="A14" s="141" t="s">
        <v>136</v>
      </c>
      <c r="B14" s="72" t="s">
        <v>82</v>
      </c>
    </row>
    <row r="15" spans="1:2" x14ac:dyDescent="0.25">
      <c r="A15" s="26" t="s">
        <v>60</v>
      </c>
      <c r="B15" t="s">
        <v>98</v>
      </c>
    </row>
    <row r="16" spans="1:2" x14ac:dyDescent="0.25">
      <c r="A16" s="26" t="s">
        <v>49</v>
      </c>
      <c r="B16" t="s">
        <v>99</v>
      </c>
    </row>
    <row r="17" spans="1:16" x14ac:dyDescent="0.25">
      <c r="A17" s="26" t="s">
        <v>61</v>
      </c>
      <c r="B17" t="s">
        <v>100</v>
      </c>
    </row>
    <row r="20" spans="1:16" ht="15.75" x14ac:dyDescent="0.25">
      <c r="A20" s="141" t="s">
        <v>137</v>
      </c>
    </row>
    <row r="21" spans="1:16" x14ac:dyDescent="0.25">
      <c r="A21" s="132" t="s">
        <v>57</v>
      </c>
      <c r="B21" s="133" t="s">
        <v>119</v>
      </c>
      <c r="C21" s="134"/>
      <c r="D21" s="139"/>
      <c r="E21" s="139"/>
      <c r="P21" s="112"/>
    </row>
    <row r="22" spans="1:16" x14ac:dyDescent="0.25">
      <c r="A22" s="112" t="s">
        <v>120</v>
      </c>
      <c r="B22" s="134" t="s">
        <v>116</v>
      </c>
      <c r="C22" s="134"/>
      <c r="D22" s="139"/>
      <c r="E22" s="139"/>
      <c r="P22" s="112"/>
    </row>
    <row r="23" spans="1:16" x14ac:dyDescent="0.25">
      <c r="A23" s="112" t="s">
        <v>121</v>
      </c>
      <c r="B23" s="134" t="s">
        <v>116</v>
      </c>
      <c r="C23" s="134"/>
      <c r="D23" s="5"/>
      <c r="E23" s="5"/>
    </row>
    <row r="24" spans="1:16" x14ac:dyDescent="0.25">
      <c r="A24" s="112" t="s">
        <v>149</v>
      </c>
      <c r="B24" s="134" t="s">
        <v>124</v>
      </c>
      <c r="C24" s="134"/>
      <c r="D24" s="5"/>
      <c r="E24" s="139"/>
      <c r="L24" s="139"/>
      <c r="M24" s="112"/>
      <c r="N24" s="112"/>
      <c r="O24" s="112"/>
    </row>
    <row r="25" spans="1:16" x14ac:dyDescent="0.25">
      <c r="A25" s="112" t="s">
        <v>122</v>
      </c>
      <c r="B25" s="134" t="s">
        <v>124</v>
      </c>
      <c r="C25" s="134"/>
      <c r="D25" s="139"/>
      <c r="E25" s="139"/>
      <c r="L25" s="139"/>
      <c r="M25" s="112"/>
      <c r="N25" s="112"/>
      <c r="O25" s="112"/>
    </row>
    <row r="26" spans="1:16" x14ac:dyDescent="0.25">
      <c r="A26" s="139" t="s">
        <v>123</v>
      </c>
      <c r="B26" s="134" t="s">
        <v>124</v>
      </c>
      <c r="C26" s="134"/>
      <c r="D26" s="139"/>
      <c r="E26" s="139"/>
      <c r="L26" s="139"/>
      <c r="M26" s="112"/>
      <c r="N26" s="112"/>
      <c r="O26" s="112"/>
    </row>
    <row r="27" spans="1:16" x14ac:dyDescent="0.25">
      <c r="A27" s="132" t="s">
        <v>147</v>
      </c>
      <c r="B27" s="133" t="s">
        <v>148</v>
      </c>
      <c r="C27" s="134"/>
      <c r="D27" s="139"/>
      <c r="E27" s="139"/>
      <c r="L27" s="139"/>
      <c r="M27" s="112"/>
      <c r="N27" s="112"/>
      <c r="O27" s="112"/>
    </row>
    <row r="28" spans="1:16" x14ac:dyDescent="0.25">
      <c r="B28" s="134"/>
      <c r="C28" s="134"/>
      <c r="D28" s="139"/>
      <c r="E28" s="139"/>
    </row>
    <row r="29" spans="1:16" x14ac:dyDescent="0.25">
      <c r="A29" s="148" t="s">
        <v>150</v>
      </c>
      <c r="B29" s="139"/>
      <c r="C29" s="112"/>
      <c r="D29" s="112"/>
      <c r="E29" s="112"/>
    </row>
    <row r="30" spans="1:16" x14ac:dyDescent="0.25">
      <c r="A30" s="26"/>
    </row>
    <row r="31" spans="1:16" ht="15.75" x14ac:dyDescent="0.25">
      <c r="A31" s="141" t="s">
        <v>135</v>
      </c>
    </row>
    <row r="32" spans="1:16" x14ac:dyDescent="0.25">
      <c r="A32" s="29" t="s">
        <v>128</v>
      </c>
    </row>
    <row r="33" spans="1:5" x14ac:dyDescent="0.25">
      <c r="A33" s="29" t="s">
        <v>129</v>
      </c>
    </row>
    <row r="34" spans="1:5" x14ac:dyDescent="0.25">
      <c r="A34" s="29" t="s">
        <v>130</v>
      </c>
    </row>
    <row r="35" spans="1:5" x14ac:dyDescent="0.25">
      <c r="A35" s="29" t="s">
        <v>131</v>
      </c>
    </row>
    <row r="36" spans="1:5" x14ac:dyDescent="0.25">
      <c r="A36" s="29" t="s">
        <v>132</v>
      </c>
    </row>
    <row r="37" spans="1:5" x14ac:dyDescent="0.25">
      <c r="A37" s="29" t="s">
        <v>133</v>
      </c>
    </row>
    <row r="38" spans="1:5" x14ac:dyDescent="0.25">
      <c r="A38" s="26" t="s">
        <v>134</v>
      </c>
    </row>
    <row r="41" spans="1:5" ht="15.75" x14ac:dyDescent="0.25">
      <c r="A41" s="59" t="s">
        <v>139</v>
      </c>
    </row>
    <row r="42" spans="1:5" x14ac:dyDescent="0.25">
      <c r="A42" s="72" t="s">
        <v>138</v>
      </c>
    </row>
    <row r="43" spans="1:5" x14ac:dyDescent="0.25">
      <c r="A43" s="72"/>
    </row>
    <row r="45" spans="1:5" ht="15.75" x14ac:dyDescent="0.25">
      <c r="A45" s="140" t="s">
        <v>142</v>
      </c>
      <c r="B45" s="112" t="s">
        <v>140</v>
      </c>
      <c r="C45" s="112" t="s">
        <v>141</v>
      </c>
    </row>
    <row r="46" spans="1:5" x14ac:dyDescent="0.25">
      <c r="A46" t="s">
        <v>152</v>
      </c>
      <c r="B46" s="112">
        <v>24000</v>
      </c>
      <c r="C46" s="112">
        <v>600</v>
      </c>
      <c r="E46" s="147"/>
    </row>
    <row r="47" spans="1:5" x14ac:dyDescent="0.25">
      <c r="A47" t="s">
        <v>153</v>
      </c>
      <c r="B47" s="112">
        <v>22000</v>
      </c>
      <c r="C47" s="112">
        <v>600</v>
      </c>
    </row>
    <row r="49" spans="1:1" ht="15.75" x14ac:dyDescent="0.25">
      <c r="A49" s="140" t="s">
        <v>10</v>
      </c>
    </row>
    <row r="50" spans="1:1" x14ac:dyDescent="0.25">
      <c r="A50" t="s">
        <v>144</v>
      </c>
    </row>
    <row r="51" spans="1:1" x14ac:dyDescent="0.25">
      <c r="A51" s="59"/>
    </row>
    <row r="53" spans="1:1" ht="15.75" x14ac:dyDescent="0.25">
      <c r="A53" s="140" t="s">
        <v>92</v>
      </c>
    </row>
    <row r="54" spans="1:1" x14ac:dyDescent="0.25">
      <c r="A54" t="s">
        <v>143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Personnel costs</vt:lpstr>
      <vt:lpstr>Expenses induced by the plan</vt:lpstr>
      <vt:lpstr>Damages saved</vt:lpstr>
      <vt:lpstr>Read me</vt:lpstr>
      <vt:lpstr>code_hr</vt:lpstr>
    </vt:vector>
  </TitlesOfParts>
  <Company>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Orazio</dc:creator>
  <cp:lastModifiedBy>sarah</cp:lastModifiedBy>
  <dcterms:created xsi:type="dcterms:W3CDTF">2018-09-21T14:32:42Z</dcterms:created>
  <dcterms:modified xsi:type="dcterms:W3CDTF">2019-03-19T15:36:39Z</dcterms:modified>
</cp:coreProperties>
</file>